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355" windowHeight="6090" tabRatio="934" activeTab="4"/>
  </bookViews>
  <sheets>
    <sheet name="Caixa Coletora" sheetId="1" r:id="rId1"/>
    <sheet name="Cal. Escavação" sheetId="2" r:id="rId2"/>
    <sheet name="Quadro Resumo Calçadas" sheetId="3" r:id="rId3"/>
    <sheet name="Quadro Resumo de Vias" sheetId="4" r:id="rId4"/>
    <sheet name="Total TL " sheetId="5" r:id="rId5"/>
    <sheet name="Santo A. Imperatriz" sheetId="6" r:id="rId6"/>
    <sheet name="Rio do Sul" sheetId="7" r:id="rId7"/>
    <sheet name="H. d Oeste" sheetId="8" r:id="rId8"/>
    <sheet name="Cel. Farrapo" sheetId="9" r:id="rId9"/>
    <sheet name="Gerônimo Deb." sheetId="10" r:id="rId10"/>
    <sheet name="Lages" sheetId="11" r:id="rId11"/>
    <sheet name="Concórdia" sheetId="12" r:id="rId12"/>
    <sheet name="Piratuba" sheetId="13" r:id="rId13"/>
    <sheet name="Anildo Bleichwel" sheetId="14" r:id="rId14"/>
    <sheet name="Capinzal" sheetId="15" r:id="rId15"/>
    <sheet name="Curitibanos" sheetId="16" r:id="rId16"/>
    <sheet name="Tangará" sheetId="17" r:id="rId17"/>
    <sheet name="Xanxerê" sheetId="18" r:id="rId18"/>
    <sheet name="Chapecó" sheetId="19" r:id="rId19"/>
    <sheet name="CRONOGRAMA" sheetId="20" r:id="rId20"/>
  </sheets>
  <externalReferences>
    <externalReference r:id="rId23"/>
    <externalReference r:id="rId24"/>
  </externalReferences>
  <definedNames>
    <definedName name="_xlnm.Print_Area" localSheetId="13">'Anildo Bleichwel'!$A$1:$F$50</definedName>
    <definedName name="_xlnm.Print_Area" localSheetId="14">'Capinzal'!$A$1:$F$50</definedName>
    <definedName name="_xlnm.Print_Area" localSheetId="8">'Cel. Farrapo'!$A$1:$F$50</definedName>
    <definedName name="_xlnm.Print_Area" localSheetId="18">'Chapecó'!$A$1:$F$50</definedName>
    <definedName name="_xlnm.Print_Area" localSheetId="11">'Concórdia'!$A$1:$F$50</definedName>
    <definedName name="_xlnm.Print_Area" localSheetId="15">'Curitibanos'!$A$1:$F$50</definedName>
    <definedName name="_xlnm.Print_Area" localSheetId="9">'Gerônimo Deb.'!$A$1:$F$50</definedName>
    <definedName name="_xlnm.Print_Area" localSheetId="7">'H. d Oeste'!$A$1:$F$50</definedName>
    <definedName name="_xlnm.Print_Area" localSheetId="10">'Lages'!$A$1:$F$50</definedName>
    <definedName name="_xlnm.Print_Area" localSheetId="12">'Piratuba'!$A$1:$F$50</definedName>
    <definedName name="_xlnm.Print_Area" localSheetId="3">'Quadro Resumo de Vias'!$A$1:$J$25</definedName>
    <definedName name="_xlnm.Print_Area" localSheetId="6">'Rio do Sul'!$A$1:$F$50</definedName>
    <definedName name="_xlnm.Print_Area" localSheetId="5">'Santo A. Imperatriz'!$A$1:$F$50</definedName>
    <definedName name="_xlnm.Print_Area" localSheetId="16">'Tangará'!$A$1:$F$50</definedName>
    <definedName name="_xlnm.Print_Area" localSheetId="4">'Total TL '!$A$1:$F$58</definedName>
    <definedName name="_xlnm.Print_Area" localSheetId="17">'Xanxerê'!$A$1:$F$50</definedName>
    <definedName name="Excel_BuiltIn_Print_Area_1">#REF!</definedName>
    <definedName name="Excel_BuiltIn_Print_Area_10">#REF!</definedName>
    <definedName name="Excel_BuiltIn_Print_Area_11">#REF!</definedName>
    <definedName name="Excel_BuiltIn_Print_Area_12_1">#REF!</definedName>
    <definedName name="Excel_BuiltIn_Print_Area_13">#REF!</definedName>
    <definedName name="Excel_BuiltIn_Print_Area_14">#REF!</definedName>
    <definedName name="Excel_BuiltIn_Print_Area_15_1">#REF!,#REF!,#REF!,#REF!,#REF!,#REF!,#REF!,#REF!,#REF!,#REF!,#REF!,#REF!,#REF!,#REF!,#REF!</definedName>
    <definedName name="Excel_BuiltIn_Print_Area_15_1_1">#REF!</definedName>
    <definedName name="Excel_BuiltIn_Print_Area_2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Titles_101">#REF!</definedName>
    <definedName name="Excel_BuiltIn_Print_Titles_10_1">#REF!</definedName>
    <definedName name="Excel_BuiltIn_Print_Titles_12_1">#REF!</definedName>
    <definedName name="Excel_BuiltIn_Print_Titles_12_11">#REF!</definedName>
    <definedName name="Excel_BuiltIn_Print_Titles_6_1">#REF!</definedName>
    <definedName name="Excel_BuiltIn_Print_Titles_6_11">#REF!</definedName>
    <definedName name="Excel_BuiltIn_Print_Titles_7">#REF!</definedName>
    <definedName name="Excel_BuiltIn_Print_Titles_9">#REF!</definedName>
    <definedName name="_xlnm.Print_Titles" localSheetId="13">'Anildo Bleichwel'!$1:$11</definedName>
    <definedName name="_xlnm.Print_Titles" localSheetId="14">'Capinzal'!$1:$11</definedName>
    <definedName name="_xlnm.Print_Titles" localSheetId="8">'Cel. Farrapo'!$1:$11</definedName>
    <definedName name="_xlnm.Print_Titles" localSheetId="18">'Chapecó'!$1:$11</definedName>
    <definedName name="_xlnm.Print_Titles" localSheetId="11">'Concórdia'!$1:$11</definedName>
    <definedName name="_xlnm.Print_Titles" localSheetId="15">'Curitibanos'!$1:$11</definedName>
    <definedName name="_xlnm.Print_Titles" localSheetId="9">'Gerônimo Deb.'!$1:$11</definedName>
    <definedName name="_xlnm.Print_Titles" localSheetId="7">'H. d Oeste'!$1:$11</definedName>
    <definedName name="_xlnm.Print_Titles" localSheetId="10">'Lages'!$1:$11</definedName>
    <definedName name="_xlnm.Print_Titles" localSheetId="12">'Piratuba'!$1:$11</definedName>
    <definedName name="_xlnm.Print_Titles" localSheetId="3">'Quadro Resumo de Vias'!$1:$10</definedName>
    <definedName name="_xlnm.Print_Titles" localSheetId="6">'Rio do Sul'!$1:$11</definedName>
    <definedName name="_xlnm.Print_Titles" localSheetId="5">'Santo A. Imperatriz'!$1:$11</definedName>
    <definedName name="_xlnm.Print_Titles" localSheetId="16">'Tangará'!$1:$11</definedName>
    <definedName name="_xlnm.Print_Titles" localSheetId="4">'Total TL '!$1:$11</definedName>
    <definedName name="_xlnm.Print_Titles" localSheetId="17">'Xanxerê'!$1:$11</definedName>
  </definedNames>
  <calcPr fullCalcOnLoad="1"/>
</workbook>
</file>

<file path=xl/sharedStrings.xml><?xml version="1.0" encoding="utf-8"?>
<sst xmlns="http://schemas.openxmlformats.org/spreadsheetml/2006/main" count="1394" uniqueCount="195">
  <si>
    <t>Ext. (m):</t>
  </si>
  <si>
    <t>Área (m²):</t>
  </si>
  <si>
    <t>QUADRO DE QUANTIDADES E PREÇOS - PREÇO TOTAL - TRÁFEGO LEVE</t>
  </si>
  <si>
    <t>Item</t>
  </si>
  <si>
    <t>Serviço</t>
  </si>
  <si>
    <t>Unidade</t>
  </si>
  <si>
    <t>Quantidade</t>
  </si>
  <si>
    <t>Preço Unitário (R$)</t>
  </si>
  <si>
    <t>Totais Parciais (R$)</t>
  </si>
  <si>
    <t>1.0</t>
  </si>
  <si>
    <t>PAVIMENTAÇÃO TRÁFEGO LEVE</t>
  </si>
  <si>
    <t>1.1</t>
  </si>
  <si>
    <t>Raspagem, Regularização e compactação do sub leito 100% proctor normal</t>
  </si>
  <si>
    <t>m²</t>
  </si>
  <si>
    <t>1.2</t>
  </si>
  <si>
    <t>Camada de macadame seco (e=0,15m)</t>
  </si>
  <si>
    <t>1.3</t>
  </si>
  <si>
    <t>1.4</t>
  </si>
  <si>
    <t>1.5</t>
  </si>
  <si>
    <t>Total do Grupo</t>
  </si>
  <si>
    <t>2.0</t>
  </si>
  <si>
    <t>DRENAGEM PLUVIAL</t>
  </si>
  <si>
    <t>2.1</t>
  </si>
  <si>
    <t>Escavação mecanica de valas</t>
  </si>
  <si>
    <t>m³</t>
  </si>
  <si>
    <t>2.2</t>
  </si>
  <si>
    <t>Assentamento de tubo Ø400mm</t>
  </si>
  <si>
    <t>m</t>
  </si>
  <si>
    <t>2.3</t>
  </si>
  <si>
    <t>Caixa coletora em alvenaria com tampa e grelha 0,8x0,8m</t>
  </si>
  <si>
    <t>2.4</t>
  </si>
  <si>
    <t>Reaterro de valas compactado</t>
  </si>
  <si>
    <t>3.0</t>
  </si>
  <si>
    <t>OBRAS COMPLEMENTARES</t>
  </si>
  <si>
    <t>3.1</t>
  </si>
  <si>
    <t>Meio fio em concreto extrudado com Regularização de passeio</t>
  </si>
  <si>
    <t>3.2</t>
  </si>
  <si>
    <t>Pintura de sinalização</t>
  </si>
  <si>
    <t>PREÇO TOTAL DOS MATERIAIS E SERVIÇOS (1):</t>
  </si>
  <si>
    <t>Rua a ser executada com largura = 8,00m</t>
  </si>
  <si>
    <t>QUADRO DE QUANTIDADES E PREÇOS - PREÇO TOTAL - ADITIVO - TRÁFEGO LEVE</t>
  </si>
  <si>
    <t>Assentamento de tubo Ø600mm</t>
  </si>
  <si>
    <t>2.5</t>
  </si>
  <si>
    <t>2.6</t>
  </si>
  <si>
    <t>Sinalização vertical (placas)</t>
  </si>
  <si>
    <t>Rua a ser executada com largura = 10,00m</t>
  </si>
  <si>
    <t>ton</t>
  </si>
  <si>
    <t xml:space="preserve"> </t>
  </si>
  <si>
    <t>3.3</t>
  </si>
  <si>
    <t>CRONOGRAMA FÍSICO FINANCEIRO</t>
  </si>
  <si>
    <t>%</t>
  </si>
  <si>
    <t>1º Mês</t>
  </si>
  <si>
    <t>2º Mês</t>
  </si>
  <si>
    <t>3º Mês</t>
  </si>
  <si>
    <t>4º Mês</t>
  </si>
  <si>
    <t>5º Mês</t>
  </si>
  <si>
    <t>6º Mês</t>
  </si>
  <si>
    <t>PREFEITURA MUNICIPAL DE CAMPOS NOVOS</t>
  </si>
  <si>
    <t>Local: Rua Santo Amaro da Imperatriz</t>
  </si>
  <si>
    <t>Trecho: Rua Coronel Farrapo até Rua Chapecó</t>
  </si>
  <si>
    <t>Local: Rua Rio do Sul</t>
  </si>
  <si>
    <t>Local: Rua Herval D' Oeste</t>
  </si>
  <si>
    <t>Local: Rua Coronel Farrapo</t>
  </si>
  <si>
    <t>Trecho: Avenida Sagrado Coração de Maria até Rua Herval d'Oeste</t>
  </si>
  <si>
    <t>Local: Rua Gerônimo Debastiani</t>
  </si>
  <si>
    <t>Local: Rua Lages</t>
  </si>
  <si>
    <t>Local: Rua Corcódia</t>
  </si>
  <si>
    <t>Local: Rua Piratuba</t>
  </si>
  <si>
    <t>Local: Rua Anildo Bleichwel</t>
  </si>
  <si>
    <t>Local: Rua Capinzal</t>
  </si>
  <si>
    <t>Local: Rua Curitibanos</t>
  </si>
  <si>
    <t>Local: Rua Tangará</t>
  </si>
  <si>
    <t>Local: Rua Xanxerê</t>
  </si>
  <si>
    <t>Local: Rua Chapecó</t>
  </si>
  <si>
    <t>DADOS DO LOGRADOURO</t>
  </si>
  <si>
    <t>Extensão (m)</t>
  </si>
  <si>
    <t>Área (m²)</t>
  </si>
  <si>
    <t>Meio Fio (m)</t>
  </si>
  <si>
    <t>Rede Pluvial (m)</t>
  </si>
  <si>
    <t>Bocas de Lobo (un)</t>
  </si>
  <si>
    <r>
      <rPr>
        <b/>
        <sz val="10"/>
        <rFont val="Arial"/>
        <family val="2"/>
      </rPr>
      <t xml:space="preserve">Rua Santo Amaro da Imperatriz- </t>
    </r>
    <r>
      <rPr>
        <sz val="10"/>
        <rFont val="Arial"/>
        <family val="2"/>
      </rPr>
      <t>trecho da Rua Coronel Farrapo até Rua Chapecó</t>
    </r>
  </si>
  <si>
    <r>
      <t xml:space="preserve">Rua Rio do Sul </t>
    </r>
    <r>
      <rPr>
        <sz val="10"/>
        <rFont val="Arial"/>
        <family val="2"/>
      </rPr>
      <t>- trecho da Rua Coronel Farrapo até Rua Chapecó</t>
    </r>
  </si>
  <si>
    <r>
      <rPr>
        <b/>
        <sz val="10"/>
        <rFont val="Arial"/>
        <family val="2"/>
      </rPr>
      <t xml:space="preserve">Rua Herval d' Oeste - </t>
    </r>
    <r>
      <rPr>
        <sz val="10"/>
        <rFont val="Arial"/>
        <family val="2"/>
      </rPr>
      <t>trecho da Rua Coronel Farrapo até Rua Chapecó</t>
    </r>
  </si>
  <si>
    <r>
      <rPr>
        <b/>
        <sz val="10"/>
        <rFont val="Arial"/>
        <family val="2"/>
      </rPr>
      <t xml:space="preserve">Rua Coronel Farrapo - </t>
    </r>
    <r>
      <rPr>
        <sz val="10"/>
        <rFont val="Arial"/>
        <family val="2"/>
      </rPr>
      <t>trecho da Avenida Sagrado Coração de Maria até Rua Herval d 'Oeste</t>
    </r>
  </si>
  <si>
    <r>
      <rPr>
        <b/>
        <sz val="10"/>
        <rFont val="Arial"/>
        <family val="2"/>
      </rPr>
      <t xml:space="preserve">Rua Gerônimo Debastiani - </t>
    </r>
    <r>
      <rPr>
        <sz val="10"/>
        <rFont val="Arial"/>
        <family val="2"/>
      </rPr>
      <t>trecho da Avenida Sagrado Coração de Maria até Rua Herval d 'Oeste</t>
    </r>
  </si>
  <si>
    <r>
      <rPr>
        <b/>
        <sz val="10"/>
        <rFont val="Arial"/>
        <family val="2"/>
      </rPr>
      <t xml:space="preserve">Rua Lages - </t>
    </r>
    <r>
      <rPr>
        <sz val="10"/>
        <rFont val="Arial"/>
        <family val="2"/>
      </rPr>
      <t>trecho da Avenida Sagrado Coração de Maria até Rua Herval d 'Oeste</t>
    </r>
  </si>
  <si>
    <r>
      <rPr>
        <b/>
        <sz val="10"/>
        <rFont val="Arial"/>
        <family val="2"/>
      </rPr>
      <t xml:space="preserve">Rua Concórdia - </t>
    </r>
    <r>
      <rPr>
        <sz val="10"/>
        <rFont val="Arial"/>
        <family val="2"/>
      </rPr>
      <t>trecho da Avenida Sagrado Coração de Maria até Rua Herval d 'Oeste</t>
    </r>
  </si>
  <si>
    <r>
      <rPr>
        <b/>
        <sz val="10"/>
        <rFont val="Arial"/>
        <family val="2"/>
      </rPr>
      <t xml:space="preserve">Rua Piratuba - </t>
    </r>
    <r>
      <rPr>
        <sz val="10"/>
        <rFont val="Arial"/>
        <family val="2"/>
      </rPr>
      <t>trecho da Avenida Sagrado Coração de Maria até Rua Herval d 'Oeste</t>
    </r>
  </si>
  <si>
    <r>
      <rPr>
        <b/>
        <sz val="10"/>
        <rFont val="Arial"/>
        <family val="2"/>
      </rPr>
      <t xml:space="preserve">Rua Anildo Bleichwel - </t>
    </r>
    <r>
      <rPr>
        <sz val="10"/>
        <rFont val="Arial"/>
        <family val="2"/>
      </rPr>
      <t>trecho da Avenida Sagrado Coração de Maria até Rua Herval d 'Oeste</t>
    </r>
  </si>
  <si>
    <r>
      <rPr>
        <b/>
        <sz val="10"/>
        <rFont val="Arial"/>
        <family val="2"/>
      </rPr>
      <t xml:space="preserve">Rua Capinzal - </t>
    </r>
    <r>
      <rPr>
        <sz val="10"/>
        <rFont val="Arial"/>
        <family val="2"/>
      </rPr>
      <t>trecho da Avenida Sagrado Coração de Maria até Rua Herval d 'Oeste</t>
    </r>
  </si>
  <si>
    <r>
      <rPr>
        <b/>
        <sz val="10"/>
        <rFont val="Arial"/>
        <family val="2"/>
      </rPr>
      <t xml:space="preserve">Rua Curitibanos - </t>
    </r>
    <r>
      <rPr>
        <sz val="10"/>
        <rFont val="Arial"/>
        <family val="2"/>
      </rPr>
      <t>trecho da Avenida Sagrado Coração de Maria até Rua Herval d 'Oeste</t>
    </r>
  </si>
  <si>
    <r>
      <rPr>
        <b/>
        <sz val="10"/>
        <rFont val="Arial"/>
        <family val="2"/>
      </rPr>
      <t xml:space="preserve">Rua Tangará - </t>
    </r>
    <r>
      <rPr>
        <sz val="10"/>
        <rFont val="Arial"/>
        <family val="2"/>
      </rPr>
      <t>trecho da Avenida Sagrado Coração de Maria até Rua Herval d 'Oeste</t>
    </r>
  </si>
  <si>
    <r>
      <rPr>
        <b/>
        <sz val="10"/>
        <rFont val="Arial"/>
        <family val="2"/>
      </rPr>
      <t xml:space="preserve">Rua Xanxerê - </t>
    </r>
    <r>
      <rPr>
        <sz val="10"/>
        <rFont val="Arial"/>
        <family val="2"/>
      </rPr>
      <t>trecho da Avenida Sagrado Coração de Maria até Rua Herval d 'Oeste</t>
    </r>
  </si>
  <si>
    <r>
      <rPr>
        <b/>
        <sz val="10"/>
        <rFont val="Arial"/>
        <family val="2"/>
      </rPr>
      <t xml:space="preserve">Rua Chapecó - </t>
    </r>
    <r>
      <rPr>
        <sz val="10"/>
        <rFont val="Arial"/>
        <family val="2"/>
      </rPr>
      <t>trecho da Avenida Sagrado Coração de Maria até Rua Herval d 'Oeste</t>
    </r>
  </si>
  <si>
    <t>LOCAL: BAIRRO NOSSA SENHORA APARECIDA</t>
  </si>
  <si>
    <t>TOTAL GERAL (R$)</t>
  </si>
  <si>
    <t xml:space="preserve">QUADRO RESUMO  -  VIAS </t>
  </si>
  <si>
    <t xml:space="preserve">QUADRO RESUMO  -  CALÇADAS </t>
  </si>
  <si>
    <t>Largura (m)</t>
  </si>
  <si>
    <t>Camada brita graduada (e=0,10m)</t>
  </si>
  <si>
    <t>1.6</t>
  </si>
  <si>
    <t>Imprimação CM - 30</t>
  </si>
  <si>
    <t>Assentamento de tubo Ø800mm</t>
  </si>
  <si>
    <t>Assentamento de tubo Ø1000mm</t>
  </si>
  <si>
    <t>2.7</t>
  </si>
  <si>
    <t>3.4</t>
  </si>
  <si>
    <t>Pintura de sinalização faixa de pedestre</t>
  </si>
  <si>
    <t>3.5</t>
  </si>
  <si>
    <t>und.</t>
  </si>
  <si>
    <t>CÁLCULO ESCAVAÇÃO</t>
  </si>
  <si>
    <t>Tubo (Ø400mm) Rede (m)</t>
  </si>
  <si>
    <t>Tubo (Ø600mm) Rede (m)</t>
  </si>
  <si>
    <t>Tubo Ø800mm Rede (m)</t>
  </si>
  <si>
    <t>Tubo Ø1000mm Rede (m)</t>
  </si>
  <si>
    <t>Altura média (h) (m)</t>
  </si>
  <si>
    <t>Escavação valas rede (m³)</t>
  </si>
  <si>
    <t>Reaterro (m³)</t>
  </si>
  <si>
    <t xml:space="preserve">Quantidade  Bocas de Lobo (und.) </t>
  </si>
  <si>
    <t>Escavação Bocas de Lobo (0,8x0,80m) (m³)</t>
  </si>
  <si>
    <t>Planilha de Cálculo -  escavação e reaterro</t>
  </si>
  <si>
    <t>Pintura de ligação RR - 1C</t>
  </si>
  <si>
    <t xml:space="preserve">Passeio em pavers com rebaixamento para acessibilidade de portadores de necessidades especiais, linha guia e alerta </t>
  </si>
  <si>
    <t>3.6</t>
  </si>
  <si>
    <t>Placa esmaltada para identificação com nomenclatura de Rua (45x25cm) com tubo galvanizado</t>
  </si>
  <si>
    <t>PREÇO TOTAL DOS MATERIAIS E SERVIÇOS:</t>
  </si>
  <si>
    <t>Observações:</t>
  </si>
  <si>
    <t>Largura dos passeios: 1,50m; 1,80m e 2,00m</t>
  </si>
  <si>
    <t xml:space="preserve">Largura dos passeios: 1,50m; </t>
  </si>
  <si>
    <t>PREÇO TOTAL DOS MATERIAIS E SERVIÇOS :</t>
  </si>
  <si>
    <t>4.0</t>
  </si>
  <si>
    <t>4.1</t>
  </si>
  <si>
    <t>Local: Bairro Nossa Senhora Aparecida</t>
  </si>
  <si>
    <t>Rua 01</t>
  </si>
  <si>
    <t>Rua 02</t>
  </si>
  <si>
    <t>Rua 03</t>
  </si>
  <si>
    <t>Rua 04</t>
  </si>
  <si>
    <t>Rua 05</t>
  </si>
  <si>
    <t>Rua 06</t>
  </si>
  <si>
    <t>Rua 07</t>
  </si>
  <si>
    <t>Rua 08</t>
  </si>
  <si>
    <t>Rua 09</t>
  </si>
  <si>
    <t>Rua 10</t>
  </si>
  <si>
    <t>Rua 11</t>
  </si>
  <si>
    <t>Rua 12</t>
  </si>
  <si>
    <t>Rua 13</t>
  </si>
  <si>
    <t>Rua 14</t>
  </si>
  <si>
    <t xml:space="preserve">Santo Amaro da Imperatriz </t>
  </si>
  <si>
    <t>Rio do Sul</t>
  </si>
  <si>
    <t>Herval d' Oeste</t>
  </si>
  <si>
    <t>Coronel Farrapo</t>
  </si>
  <si>
    <t>Gerônimo Debastiani</t>
  </si>
  <si>
    <t>Lages</t>
  </si>
  <si>
    <t>Concórdia</t>
  </si>
  <si>
    <t>Piratuba</t>
  </si>
  <si>
    <t>Anildo Bleichwel</t>
  </si>
  <si>
    <t>Capinzal</t>
  </si>
  <si>
    <t>Curitibanos</t>
  </si>
  <si>
    <t>Tangará</t>
  </si>
  <si>
    <t>Xanxerê</t>
  </si>
  <si>
    <t>Chapecó</t>
  </si>
  <si>
    <t>Quadro Resumo de Vias pavimentação asfáltica sem contar passeio, apenas eixo para tráfego de veículos</t>
  </si>
  <si>
    <t>Quadro resumo de Calçadas com pavimentação  e acessibilidade para portadores de necessidaddes especiais</t>
  </si>
  <si>
    <t>Largura dos passeios: 2,00m</t>
  </si>
  <si>
    <t>Largura dos passeios: 1,50m</t>
  </si>
  <si>
    <t>Largura dos passeios: 1,50m e 2,00m</t>
  </si>
  <si>
    <t>7º Mês</t>
  </si>
  <si>
    <t>Placa da Obra</t>
  </si>
  <si>
    <t>Pavimentação Tráfego Leve</t>
  </si>
  <si>
    <t>Drenagem Pluvial</t>
  </si>
  <si>
    <t>Obras Complementares</t>
  </si>
  <si>
    <t>Área (m²): 43.715,60</t>
  </si>
  <si>
    <t>SERVIÇOS INICIAIS</t>
  </si>
  <si>
    <t>3.7</t>
  </si>
  <si>
    <t>4.2</t>
  </si>
  <si>
    <t>4.3</t>
  </si>
  <si>
    <t>4.4</t>
  </si>
  <si>
    <t>4.5</t>
  </si>
  <si>
    <t>3.8</t>
  </si>
  <si>
    <t>2.8</t>
  </si>
  <si>
    <t>Camada de CAUQ (e=0,04m)</t>
  </si>
  <si>
    <t>3.6.1</t>
  </si>
  <si>
    <t xml:space="preserve">Alvenaria </t>
  </si>
  <si>
    <t>3.6.2</t>
  </si>
  <si>
    <t>3.6.3</t>
  </si>
  <si>
    <t>Grade-ferro barra chata</t>
  </si>
  <si>
    <t>TOTAL POR CAIXA COLETORA</t>
  </si>
  <si>
    <t>OBS:</t>
  </si>
  <si>
    <t>Alvenaria altura média = 1,50m</t>
  </si>
  <si>
    <t>BDI utilizado - 29,16%</t>
  </si>
  <si>
    <t>Base SINAPI março de 2011</t>
  </si>
  <si>
    <t>Descrição</t>
  </si>
  <si>
    <t>Detalhamento caixa coletora pluvial</t>
  </si>
  <si>
    <t>Emboço/reboco massa única</t>
  </si>
  <si>
    <t>COD. SINAPI</t>
  </si>
  <si>
    <t>73932/001</t>
  </si>
</sst>
</file>

<file path=xl/styles.xml><?xml version="1.0" encoding="utf-8"?>
<styleSheet xmlns="http://schemas.openxmlformats.org/spreadsheetml/2006/main">
  <numFmts count="6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_);_(* \(#,##0.00\);_(* \-??_);_(@_)"/>
    <numFmt numFmtId="179" formatCode="#,##0.00\ _$;\-#,##0.00\ _$"/>
    <numFmt numFmtId="180" formatCode="_(&quot;R$&quot;* #,##0.00_);_(&quot;R$&quot;* \(#,##0.00\);_(&quot;R$&quot;* \-??_);_(@_)"/>
    <numFmt numFmtId="181" formatCode="0.0%"/>
    <numFmt numFmtId="182" formatCode="0_);\(0\)"/>
    <numFmt numFmtId="183" formatCode="0.000"/>
    <numFmt numFmtId="184" formatCode="_(* #,##0.000_);_(* \(#,##0.000\);_(* &quot;-&quot;???_);_(@_)"/>
    <numFmt numFmtId="185" formatCode="#,##0;[Red]#,##0"/>
    <numFmt numFmtId="186" formatCode="0.0"/>
    <numFmt numFmtId="187" formatCode="_(* #,##0.000_);_(* \(#,##0.000\);_(* &quot;-&quot;??_);_(@_)"/>
    <numFmt numFmtId="188" formatCode="_(* #,##0.0000_);_(* \(#,##0.0000\);_(* &quot;-&quot;??_);_(@_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_(* #,##0.0000_);_(* \(#,##0.0000\);_(* &quot;-&quot;???_);_(@_)"/>
    <numFmt numFmtId="193" formatCode="_(* #,##0.0_);_(* \(#,##0.0\);_(* &quot;-&quot;??_);_(@_)"/>
    <numFmt numFmtId="194" formatCode="_(* #,##0_);_(* \(#,##0\);_(* &quot;-&quot;??_);_(@_)"/>
    <numFmt numFmtId="195" formatCode="#,###.00"/>
    <numFmt numFmtId="196" formatCode="#,##0.000"/>
    <numFmt numFmtId="197" formatCode="#,##0\ &quot;R$&quot;;\-#,##0\ &quot;R$&quot;"/>
    <numFmt numFmtId="198" formatCode="#,##0\ &quot;R$&quot;;[Red]\-#,##0\ &quot;R$&quot;"/>
    <numFmt numFmtId="199" formatCode="#,##0.00\ &quot;R$&quot;;\-#,##0.00\ &quot;R$&quot;"/>
    <numFmt numFmtId="200" formatCode="#,##0.00\ &quot;R$&quot;;[Red]\-#,##0.00\ &quot;R$&quot;"/>
    <numFmt numFmtId="201" formatCode="_-* #,##0\ &quot;R$&quot;_-;\-* #,##0\ &quot;R$&quot;_-;_-* &quot;-&quot;\ &quot;R$&quot;_-;_-@_-"/>
    <numFmt numFmtId="202" formatCode="_-* #,##0\ _R_$_-;\-* #,##0\ _R_$_-;_-* &quot;-&quot;\ _R_$_-;_-@_-"/>
    <numFmt numFmtId="203" formatCode="_-* #,##0.00\ &quot;R$&quot;_-;\-* #,##0.00\ &quot;R$&quot;_-;_-* &quot;-&quot;??\ &quot;R$&quot;_-;_-@_-"/>
    <numFmt numFmtId="204" formatCode="_-* #,##0.00\ _R_$_-;\-* #,##0.00\ _R_$_-;_-* &quot;-&quot;??\ _R_$_-;_-@_-"/>
    <numFmt numFmtId="205" formatCode="#,##0.0000"/>
    <numFmt numFmtId="206" formatCode="_(* #,##0.0000_);_(* \(#,##0.0000\);_(* \-????_);_(@_)"/>
    <numFmt numFmtId="207" formatCode="_(* #,##0.0000_);_(* \(#,##0.0000\);_(* \-??_);_(@_)"/>
    <numFmt numFmtId="208" formatCode="#,##0\ _$;\-#,##0\ _$"/>
    <numFmt numFmtId="209" formatCode="_(* #,##0.000_);_(* \(#,##0.000\);_(* \-??_);_(@_)"/>
    <numFmt numFmtId="210" formatCode="0.0000"/>
    <numFmt numFmtId="211" formatCode="0.0000%"/>
    <numFmt numFmtId="212" formatCode="[$-416]dddd\,\ d&quot; de &quot;mmmm&quot; de &quot;yyyy"/>
    <numFmt numFmtId="213" formatCode="_(* #,##0.0000_);_(* \(#,##0.0000\);_(* &quot;-&quot;????_);_(@_)"/>
    <numFmt numFmtId="214" formatCode="_(* #,##0.00000_);_(* \(#,##0.00000\);_(* \-??_);_(@_)"/>
    <numFmt numFmtId="215" formatCode="_(* #,##0.00000_);_(* \(#,##0.00000\);_(* &quot;-&quot;?????_);_(@_)"/>
    <numFmt numFmtId="216" formatCode="_(* #,##0.0_);_(* \(#,##0.0\);_(* \-??_);_(@_)"/>
    <numFmt numFmtId="217" formatCode="_(* #,##0_);_(* \(#,##0\);_(* \-??_);_(@_)"/>
    <numFmt numFmtId="218" formatCode="_(* #,##0.000000_);_(* \(#,##0.000000\);_(* \-??_);_(@_)"/>
    <numFmt numFmtId="219" formatCode="_(* #,##0.0000000_);_(* \(#,##0.0000000\);_(* \-??_);_(@_)"/>
    <numFmt numFmtId="220" formatCode="#,##0.0"/>
  </numFmts>
  <fonts count="48">
    <font>
      <sz val="10"/>
      <name val="Arial"/>
      <family val="0"/>
    </font>
    <font>
      <sz val="6.8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entury Gothic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" fontId="1" fillId="29" borderId="4" applyProtection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80" fontId="0" fillId="0" borderId="0" applyFill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Alignment="0" applyProtection="0"/>
    <xf numFmtId="0" fontId="4" fillId="33" borderId="0" applyNumberFormat="0" applyAlignment="0" applyProtection="0"/>
    <xf numFmtId="178" fontId="4" fillId="34" borderId="0" applyAlignment="0" applyProtection="0"/>
    <xf numFmtId="0" fontId="40" fillId="20" borderId="6" applyNumberFormat="0" applyAlignment="0" applyProtection="0"/>
    <xf numFmtId="178" fontId="0" fillId="0" borderId="0" applyFill="0" applyAlignment="0" applyProtection="0"/>
    <xf numFmtId="169" fontId="0" fillId="0" borderId="0" applyFill="0" applyBorder="0" applyAlignment="0" applyProtection="0"/>
    <xf numFmtId="178" fontId="0" fillId="0" borderId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8" fontId="0" fillId="0" borderId="0" xfId="5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7" fillId="0" borderId="12" xfId="58" applyFont="1" applyFill="1" applyBorder="1" applyAlignment="1" applyProtection="1">
      <alignment vertical="center"/>
      <protection/>
    </xf>
    <xf numFmtId="178" fontId="8" fillId="0" borderId="13" xfId="58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178" fontId="5" fillId="0" borderId="17" xfId="58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178" fontId="7" fillId="0" borderId="15" xfId="58" applyFont="1" applyFill="1" applyBorder="1" applyAlignment="1" applyProtection="1">
      <alignment vertical="center"/>
      <protection/>
    </xf>
    <xf numFmtId="178" fontId="7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" vertical="center"/>
    </xf>
    <xf numFmtId="178" fontId="8" fillId="0" borderId="15" xfId="58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0" borderId="22" xfId="0" applyFont="1" applyFill="1" applyBorder="1" applyAlignment="1">
      <alignment horizontal="center" vertical="center"/>
    </xf>
    <xf numFmtId="178" fontId="8" fillId="0" borderId="23" xfId="58" applyFont="1" applyFill="1" applyBorder="1" applyAlignment="1" applyProtection="1">
      <alignment vertical="center"/>
      <protection/>
    </xf>
    <xf numFmtId="49" fontId="8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" fontId="0" fillId="0" borderId="15" xfId="0" applyNumberFormat="1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4" fontId="6" fillId="0" borderId="29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2" fontId="0" fillId="0" borderId="25" xfId="0" applyNumberForma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wrapText="1"/>
    </xf>
    <xf numFmtId="4" fontId="0" fillId="0" borderId="35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2" fontId="0" fillId="0" borderId="36" xfId="0" applyNumberForma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wrapText="1"/>
    </xf>
    <xf numFmtId="2" fontId="0" fillId="0" borderId="41" xfId="0" applyNumberForma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 wrapText="1"/>
      <protection locked="0"/>
    </xf>
    <xf numFmtId="4" fontId="0" fillId="0" borderId="46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4" fontId="6" fillId="0" borderId="47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0" fillId="0" borderId="48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6" fillId="0" borderId="4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8" fillId="0" borderId="51" xfId="0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178" fontId="7" fillId="0" borderId="17" xfId="58" applyFont="1" applyFill="1" applyBorder="1" applyAlignment="1" applyProtection="1">
      <alignment vertical="center"/>
      <protection/>
    </xf>
    <xf numFmtId="0" fontId="8" fillId="0" borderId="5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4" fontId="10" fillId="0" borderId="17" xfId="0" applyNumberFormat="1" applyFont="1" applyFill="1" applyBorder="1" applyAlignment="1">
      <alignment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vertical="center"/>
    </xf>
    <xf numFmtId="3" fontId="7" fillId="35" borderId="15" xfId="0" applyNumberFormat="1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vertical="center" wrapText="1"/>
    </xf>
    <xf numFmtId="0" fontId="7" fillId="35" borderId="15" xfId="0" applyFont="1" applyFill="1" applyBorder="1" applyAlignment="1">
      <alignment horizontal="center" vertical="center"/>
    </xf>
    <xf numFmtId="178" fontId="7" fillId="35" borderId="15" xfId="58" applyFont="1" applyFill="1" applyBorder="1" applyAlignment="1" applyProtection="1">
      <alignment vertical="center"/>
      <protection/>
    </xf>
    <xf numFmtId="178" fontId="7" fillId="35" borderId="15" xfId="0" applyNumberFormat="1" applyFont="1" applyFill="1" applyBorder="1" applyAlignment="1">
      <alignment vertical="center"/>
    </xf>
    <xf numFmtId="0" fontId="7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/>
    </xf>
    <xf numFmtId="4" fontId="0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5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57" xfId="0" applyFont="1" applyBorder="1" applyAlignment="1" applyProtection="1">
      <alignment horizontal="center" vertical="center" wrapText="1"/>
      <protection locked="0"/>
    </xf>
    <xf numFmtId="0" fontId="13" fillId="0" borderId="5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6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13" fillId="0" borderId="62" xfId="0" applyFont="1" applyBorder="1" applyAlignment="1" applyProtection="1">
      <alignment horizontal="center" vertical="center" wrapText="1"/>
      <protection locked="0"/>
    </xf>
    <xf numFmtId="0" fontId="13" fillId="0" borderId="63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center"/>
    </xf>
    <xf numFmtId="0" fontId="0" fillId="0" borderId="51" xfId="0" applyFont="1" applyBorder="1" applyAlignment="1">
      <alignment horizontal="left" vertical="center" wrapText="1"/>
    </xf>
    <xf numFmtId="0" fontId="13" fillId="0" borderId="71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6" fillId="36" borderId="72" xfId="0" applyFont="1" applyFill="1" applyBorder="1" applyAlignment="1" quotePrefix="1">
      <alignment horizontal="center" vertical="center"/>
    </xf>
    <xf numFmtId="0" fontId="6" fillId="36" borderId="72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 quotePrefix="1">
      <alignment vertical="center"/>
    </xf>
    <xf numFmtId="0" fontId="6" fillId="0" borderId="55" xfId="0" applyFont="1" applyFill="1" applyBorder="1" applyAlignment="1" quotePrefix="1">
      <alignment vertical="center"/>
    </xf>
    <xf numFmtId="0" fontId="6" fillId="0" borderId="51" xfId="0" applyFont="1" applyFill="1" applyBorder="1" applyAlignment="1" quotePrefix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82" xfId="0" applyNumberFormat="1" applyFont="1" applyFill="1" applyBorder="1" applyAlignment="1">
      <alignment horizontal="center" vertical="center"/>
    </xf>
    <xf numFmtId="3" fontId="8" fillId="0" borderId="52" xfId="0" applyNumberFormat="1" applyFont="1" applyFill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/>
    </xf>
    <xf numFmtId="3" fontId="8" fillId="0" borderId="83" xfId="0" applyNumberFormat="1" applyFont="1" applyFill="1" applyBorder="1" applyAlignment="1">
      <alignment horizontal="center" vertical="center"/>
    </xf>
    <xf numFmtId="3" fontId="8" fillId="0" borderId="84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6" fillId="36" borderId="89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for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Resultado 1" xfId="53"/>
    <cellStyle name="Resultado2 1" xfId="54"/>
    <cellStyle name="Saída" xfId="55"/>
    <cellStyle name="Comma" xfId="56"/>
    <cellStyle name="Comma [0]" xfId="57"/>
    <cellStyle name="Separador de milhares_Proposta Medição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609600</xdr:colOff>
      <xdr:row>6</xdr:row>
      <xdr:rowOff>9525</xdr:rowOff>
    </xdr:to>
    <xdr:pic>
      <xdr:nvPicPr>
        <xdr:cNvPr id="1" name="Picture 1" descr="bandeira prefeitur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D%20Cris\sem%20remo&#231;&#227;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.%20Campos%20Novos\CC%2001-2006%20-%20Ruas%20Diversas\Proposta%20Medi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Ruas A+"/>
      <sheetName val="BC ex"/>
      <sheetName val="SNB ex"/>
      <sheetName val="PAT ex "/>
      <sheetName val="NR ex"/>
      <sheetName val="WA ex"/>
      <sheetName val="LAC ex "/>
      <sheetName val="CF e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JETO"/>
      <sheetName val="separadores"/>
      <sheetName val="sumário"/>
      <sheetName val="carta"/>
      <sheetName val="resumo"/>
      <sheetName val="cfis-res"/>
      <sheetName val="cfin-res"/>
      <sheetName val="carta-leve"/>
      <sheetName val="plan-leve"/>
      <sheetName val="serv e mat-leve"/>
      <sheetName val="cfis-leve"/>
      <sheetName val="cfin-leve"/>
      <sheetName val="compa-leve"/>
      <sheetName val="AAS"/>
      <sheetName val="AR"/>
      <sheetName val="AZP"/>
      <sheetName val="BI"/>
      <sheetName val="BAS"/>
      <sheetName val="COF"/>
      <sheetName val="DIZ"/>
      <sheetName val="ED"/>
      <sheetName val="FCS"/>
      <sheetName val="IMS"/>
      <sheetName val="JCS"/>
      <sheetName val="JOF"/>
      <sheetName val="LRA"/>
      <sheetName val="MA"/>
      <sheetName val="VC"/>
      <sheetName val="XV"/>
      <sheetName val="AT"/>
      <sheetName val="CPC"/>
      <sheetName val="PE"/>
      <sheetName val="PCS"/>
      <sheetName val="RG"/>
      <sheetName val="BC"/>
      <sheetName val="FDV"/>
      <sheetName val="VS"/>
      <sheetName val="ABF"/>
      <sheetName val="CP"/>
      <sheetName val="DCC"/>
      <sheetName val="FB"/>
      <sheetName val="FR"/>
      <sheetName val="HR"/>
      <sheetName val="HC"/>
      <sheetName val="ID"/>
      <sheetName val="MP"/>
      <sheetName val="NC"/>
      <sheetName val="SD"/>
      <sheetName val="ZD"/>
      <sheetName val="plan-pesado"/>
      <sheetName val="compa-pesado"/>
      <sheetName val="FCSp"/>
      <sheetName val="IF"/>
      <sheetName val="JGA"/>
      <sheetName val="SV"/>
      <sheetName val="_file___SERVIDOR_Licitacoes_Lic"/>
      <sheetName val="_file___SERVIDOR_Licitacoes_Licita_C3_A7_C3_B5es_DEINFRA_20__20SC_2004_Edital_20TP_20n_C2_BA43_2004_20__20Acesso_20S_C3_A3o_20Jo_C3_A3o_20do_20Oeste_Proposta_20TP_2043_2004_xls__planilha"/>
    </sheetNames>
    <sheetDataSet>
      <sheetData sheetId="8">
        <row r="12">
          <cell r="A12" t="str">
            <v>PAVIMENTAÇÃO ASFÁLTICA COM CAUQ, DRENAGEM PLUVIAL E OBRAS COMPLEMENTARES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7.00390625" style="0" customWidth="1"/>
    <col min="2" max="2" width="27.00390625" style="0" customWidth="1"/>
    <col min="6" max="6" width="9.8515625" style="0" bestFit="1" customWidth="1"/>
    <col min="7" max="7" width="12.140625" style="0" bestFit="1" customWidth="1"/>
  </cols>
  <sheetData>
    <row r="1" spans="1:6" ht="15.75">
      <c r="A1" s="139" t="s">
        <v>191</v>
      </c>
      <c r="B1" s="139"/>
      <c r="C1" s="139"/>
      <c r="D1" s="139"/>
      <c r="E1" s="139"/>
      <c r="F1" s="139"/>
    </row>
    <row r="3" spans="1:6" ht="12.75">
      <c r="A3" s="138" t="s">
        <v>3</v>
      </c>
      <c r="B3" s="138" t="s">
        <v>190</v>
      </c>
      <c r="C3" s="138" t="s">
        <v>5</v>
      </c>
      <c r="D3" s="138" t="s">
        <v>6</v>
      </c>
      <c r="E3" s="143" t="s">
        <v>7</v>
      </c>
      <c r="F3" s="143" t="s">
        <v>8</v>
      </c>
    </row>
    <row r="4" spans="1:6" ht="12.75">
      <c r="A4" s="138"/>
      <c r="B4" s="138"/>
      <c r="C4" s="138"/>
      <c r="D4" s="138"/>
      <c r="E4" s="143"/>
      <c r="F4" s="143"/>
    </row>
    <row r="5" spans="1:7" ht="36" customHeight="1">
      <c r="A5" s="124" t="s">
        <v>122</v>
      </c>
      <c r="B5" s="125" t="s">
        <v>29</v>
      </c>
      <c r="C5" s="126" t="s">
        <v>108</v>
      </c>
      <c r="D5" s="127">
        <f>'Total TL '!D30</f>
        <v>304</v>
      </c>
      <c r="E5" s="127">
        <v>878.3</v>
      </c>
      <c r="F5" s="128">
        <f>E5*D5</f>
        <v>267003.2</v>
      </c>
      <c r="G5" s="136" t="s">
        <v>193</v>
      </c>
    </row>
    <row r="6" spans="1:7" ht="12.75">
      <c r="A6" s="129" t="s">
        <v>180</v>
      </c>
      <c r="B6" s="129" t="s">
        <v>181</v>
      </c>
      <c r="C6" s="132" t="s">
        <v>13</v>
      </c>
      <c r="D6" s="132">
        <v>4.8</v>
      </c>
      <c r="E6" s="132">
        <v>130.48</v>
      </c>
      <c r="F6" s="130">
        <f>E6*D6</f>
        <v>626.304</v>
      </c>
      <c r="G6" s="132">
        <v>6519</v>
      </c>
    </row>
    <row r="7" spans="1:7" ht="12.75">
      <c r="A7" s="129" t="s">
        <v>182</v>
      </c>
      <c r="B7" s="129" t="s">
        <v>192</v>
      </c>
      <c r="C7" s="132" t="s">
        <v>13</v>
      </c>
      <c r="D7" s="132">
        <v>4.8</v>
      </c>
      <c r="E7" s="132">
        <v>18.66</v>
      </c>
      <c r="F7" s="130">
        <f>E7*D7</f>
        <v>89.568</v>
      </c>
      <c r="G7" s="132">
        <v>5990</v>
      </c>
    </row>
    <row r="8" spans="1:7" ht="12.75">
      <c r="A8" s="129" t="s">
        <v>183</v>
      </c>
      <c r="B8" s="129" t="s">
        <v>184</v>
      </c>
      <c r="C8" s="132" t="s">
        <v>13</v>
      </c>
      <c r="D8" s="132">
        <f>0.8*0.8</f>
        <v>0.6400000000000001</v>
      </c>
      <c r="E8" s="132">
        <v>253.79</v>
      </c>
      <c r="F8" s="130">
        <f>E8*D8</f>
        <v>162.42560000000003</v>
      </c>
      <c r="G8" s="132" t="s">
        <v>194</v>
      </c>
    </row>
    <row r="9" spans="1:7" ht="12.75">
      <c r="A9" s="140" t="s">
        <v>185</v>
      </c>
      <c r="B9" s="141"/>
      <c r="C9" s="141"/>
      <c r="D9" s="141"/>
      <c r="E9" s="142"/>
      <c r="F9" s="131">
        <f>SUM(F6:F8)</f>
        <v>878.2976</v>
      </c>
      <c r="G9" s="135"/>
    </row>
    <row r="11" spans="1:2" ht="12.75">
      <c r="A11" s="134" t="s">
        <v>186</v>
      </c>
      <c r="B11" s="133" t="s">
        <v>187</v>
      </c>
    </row>
    <row r="12" ht="12.75">
      <c r="B12" s="133" t="s">
        <v>188</v>
      </c>
    </row>
    <row r="13" ht="12.75">
      <c r="B13" s="133" t="s">
        <v>189</v>
      </c>
    </row>
  </sheetData>
  <sheetProtection/>
  <mergeCells count="8">
    <mergeCell ref="A3:A4"/>
    <mergeCell ref="A1:F1"/>
    <mergeCell ref="A9:E9"/>
    <mergeCell ref="C3:C4"/>
    <mergeCell ref="D3:D4"/>
    <mergeCell ref="E3:E4"/>
    <mergeCell ref="F3:F4"/>
    <mergeCell ref="B3:B4"/>
  </mergeCells>
  <printOptions/>
  <pageMargins left="0.7874015748031497" right="0.5118110236220472" top="1.968503937007874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M53"/>
  <sheetViews>
    <sheetView view="pageBreakPreview" zoomScaleNormal="90" zoomScaleSheetLayoutView="100" zoomScalePageLayoutView="0" workbookViewId="0" topLeftCell="A1">
      <selection activeCell="A33" sqref="A33:F33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64</v>
      </c>
      <c r="D2"/>
      <c r="E2"/>
      <c r="F2" s="3"/>
    </row>
    <row r="3" spans="1:6" ht="12.75">
      <c r="A3" s="18" t="s">
        <v>63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250.6</v>
      </c>
      <c r="D5" s="7" t="s">
        <v>1</v>
      </c>
      <c r="E5" s="8">
        <f>B5*8</f>
        <v>2004.8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5" t="s">
        <v>3</v>
      </c>
      <c r="B9" s="187" t="s">
        <v>4</v>
      </c>
      <c r="C9" s="187" t="s">
        <v>5</v>
      </c>
      <c r="D9" s="187" t="s">
        <v>6</v>
      </c>
      <c r="E9" s="190" t="s">
        <v>7</v>
      </c>
      <c r="F9" s="200" t="s">
        <v>8</v>
      </c>
    </row>
    <row r="10" spans="1:7" ht="12.75">
      <c r="A10" s="198"/>
      <c r="B10" s="199"/>
      <c r="C10" s="199"/>
      <c r="D10" s="199"/>
      <c r="E10" s="197"/>
      <c r="F10" s="201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E5</f>
        <v>2004.8</v>
      </c>
      <c r="E13" s="37">
        <v>2</v>
      </c>
      <c r="F13" s="38">
        <f aca="true" t="shared" si="0" ref="F13:F18">E13*D13</f>
        <v>4009.6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300.71999999999997</v>
      </c>
      <c r="E14" s="37">
        <v>105</v>
      </c>
      <c r="F14" s="38">
        <f t="shared" si="0"/>
        <v>31575.6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200.48000000000002</v>
      </c>
      <c r="E15" s="37">
        <v>120</v>
      </c>
      <c r="F15" s="38">
        <f t="shared" si="0"/>
        <v>24057.600000000002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2004.8</v>
      </c>
      <c r="E16" s="37">
        <v>3.7</v>
      </c>
      <c r="F16" s="38">
        <f t="shared" si="0"/>
        <v>7417.76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E5</f>
        <v>2004.8</v>
      </c>
      <c r="E17" s="37">
        <v>1.3</v>
      </c>
      <c r="F17" s="38">
        <f t="shared" si="0"/>
        <v>2606.2400000000002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200.48000000000002</v>
      </c>
      <c r="E18" s="37">
        <v>216</v>
      </c>
      <c r="F18" s="38">
        <f t="shared" si="0"/>
        <v>43303.68000000001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" customHeight="1">
      <c r="A19" s="204" t="s">
        <v>19</v>
      </c>
      <c r="B19" s="205"/>
      <c r="C19" s="107"/>
      <c r="D19" s="108"/>
      <c r="E19" s="48"/>
      <c r="F19" s="49">
        <f>SUM(F13:F18)</f>
        <v>112970.48000000001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6.75" customHeight="1">
      <c r="A20" s="10"/>
      <c r="B20" s="11"/>
      <c r="C20" s="11"/>
      <c r="D20" s="11"/>
      <c r="E20" s="11"/>
      <c r="F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Escavação'!J10+'Cal. Escavação'!L10</f>
        <v>666.792</v>
      </c>
      <c r="E22" s="37">
        <v>11</v>
      </c>
      <c r="F22" s="38">
        <f aca="true" t="shared" si="1" ref="F22:F29">E22*D22</f>
        <v>7334.712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207</v>
      </c>
      <c r="E23" s="37">
        <v>60</v>
      </c>
      <c r="F23" s="38">
        <f t="shared" si="1"/>
        <v>12420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0</v>
      </c>
      <c r="E24" s="37">
        <v>90</v>
      </c>
      <c r="F24" s="38">
        <f t="shared" si="1"/>
        <v>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0</v>
      </c>
      <c r="E25" s="37">
        <v>210</v>
      </c>
      <c r="F25" s="38">
        <f t="shared" si="1"/>
        <v>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>
      <c r="A27" s="34" t="s">
        <v>43</v>
      </c>
      <c r="B27" s="35" t="s">
        <v>29</v>
      </c>
      <c r="C27" s="36" t="s">
        <v>108</v>
      </c>
      <c r="D27" s="37">
        <v>10</v>
      </c>
      <c r="E27" s="37">
        <v>878.3</v>
      </c>
      <c r="F27" s="38">
        <f t="shared" si="1"/>
        <v>8783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 customHeight="1">
      <c r="A28" s="34" t="s">
        <v>104</v>
      </c>
      <c r="B28" s="35" t="s">
        <v>31</v>
      </c>
      <c r="C28" s="36" t="s">
        <v>24</v>
      </c>
      <c r="D28" s="37">
        <f>'Cal. Escavação'!M10</f>
        <v>466.7544</v>
      </c>
      <c r="E28" s="37">
        <v>14</v>
      </c>
      <c r="F28" s="38">
        <f t="shared" si="1"/>
        <v>6534.5616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12.75" customHeight="1">
      <c r="A29" s="34" t="s">
        <v>178</v>
      </c>
      <c r="B29" s="44" t="s">
        <v>35</v>
      </c>
      <c r="C29" s="36" t="s">
        <v>27</v>
      </c>
      <c r="D29" s="37">
        <v>511.7</v>
      </c>
      <c r="E29" s="37">
        <v>25</v>
      </c>
      <c r="F29" s="38">
        <f t="shared" si="1"/>
        <v>12792.5</v>
      </c>
      <c r="IE29" s="2"/>
      <c r="IF29" s="2"/>
      <c r="IG29" s="2"/>
      <c r="IH29"/>
      <c r="II29"/>
      <c r="IJ29"/>
      <c r="IK29"/>
      <c r="IL29"/>
      <c r="IM29"/>
    </row>
    <row r="30" spans="1:247" s="9" customFormat="1" ht="11.25" customHeight="1">
      <c r="A30" s="202" t="s">
        <v>19</v>
      </c>
      <c r="B30" s="203"/>
      <c r="C30" s="106"/>
      <c r="D30" s="41"/>
      <c r="E30" s="41"/>
      <c r="F30" s="42">
        <f>SUM(F22:F29)</f>
        <v>47864.7736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6.75" customHeight="1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12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26.25" customHeight="1">
      <c r="A33" s="34" t="s">
        <v>34</v>
      </c>
      <c r="B33" s="44" t="s">
        <v>121</v>
      </c>
      <c r="C33" s="36" t="s">
        <v>13</v>
      </c>
      <c r="D33" s="37">
        <f>'Quadro Resumo Calçadas'!G12</f>
        <v>751.8</v>
      </c>
      <c r="E33" s="37">
        <v>44.75</v>
      </c>
      <c r="F33" s="38">
        <f>E33*D33</f>
        <v>33643.049999999996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2.75">
      <c r="A34" s="34" t="s">
        <v>36</v>
      </c>
      <c r="B34" s="44" t="s">
        <v>44</v>
      </c>
      <c r="C34" s="36" t="s">
        <v>108</v>
      </c>
      <c r="D34" s="37">
        <v>6</v>
      </c>
      <c r="E34" s="37">
        <v>300</v>
      </c>
      <c r="F34" s="38">
        <f>E34*D34</f>
        <v>1800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2.5">
      <c r="A35" s="34" t="s">
        <v>48</v>
      </c>
      <c r="B35" s="44" t="s">
        <v>123</v>
      </c>
      <c r="C35" s="36" t="s">
        <v>108</v>
      </c>
      <c r="D35" s="37">
        <v>7</v>
      </c>
      <c r="E35" s="37">
        <v>200</v>
      </c>
      <c r="F35" s="38">
        <f>E35*D35</f>
        <v>1400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3.5" customHeight="1">
      <c r="A36" s="34" t="s">
        <v>105</v>
      </c>
      <c r="B36" s="44" t="s">
        <v>106</v>
      </c>
      <c r="C36" s="36" t="s">
        <v>13</v>
      </c>
      <c r="D36" s="37">
        <v>0</v>
      </c>
      <c r="E36" s="37">
        <v>17</v>
      </c>
      <c r="F36" s="38">
        <f>E36*D36</f>
        <v>0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5.75" customHeight="1">
      <c r="A37" s="34" t="s">
        <v>107</v>
      </c>
      <c r="B37" s="44" t="s">
        <v>37</v>
      </c>
      <c r="C37" s="36" t="s">
        <v>13</v>
      </c>
      <c r="D37" s="37">
        <f>B5*0.4</f>
        <v>100.24000000000001</v>
      </c>
      <c r="E37" s="37">
        <v>17</v>
      </c>
      <c r="F37" s="38">
        <f>E37*D37</f>
        <v>1704.0800000000002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2" customHeight="1">
      <c r="A38" s="202" t="s">
        <v>19</v>
      </c>
      <c r="B38" s="206"/>
      <c r="C38" s="41"/>
      <c r="D38" s="41"/>
      <c r="E38" s="41"/>
      <c r="F38" s="42">
        <f>SUM(F33:F37)</f>
        <v>38547.13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5.2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1.25" customHeight="1">
      <c r="A40" s="207" t="s">
        <v>38</v>
      </c>
      <c r="B40" s="208"/>
      <c r="C40" s="208"/>
      <c r="D40" s="208"/>
      <c r="E40" s="13"/>
      <c r="F40" s="14">
        <f>F38+F30+F19</f>
        <v>199382.3836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6.75" customHeight="1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1:247" s="9" customFormat="1" ht="12.75">
      <c r="A42" s="9" t="s">
        <v>125</v>
      </c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12" t="s">
        <v>39</v>
      </c>
      <c r="B43" s="12"/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9" t="s">
        <v>163</v>
      </c>
      <c r="IE44" s="2"/>
      <c r="IF44" s="2"/>
      <c r="IG44" s="2"/>
      <c r="IH44"/>
      <c r="II44"/>
      <c r="IJ44"/>
      <c r="IK44"/>
      <c r="IL44"/>
      <c r="IM44"/>
    </row>
    <row r="45" spans="239:247" s="9" customFormat="1" ht="12.75"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spans="239:247" s="9" customFormat="1" ht="12.75">
      <c r="IE52" s="2"/>
      <c r="IF52" s="2"/>
      <c r="IG52" s="2"/>
      <c r="IH52"/>
      <c r="II52"/>
      <c r="IJ52"/>
      <c r="IK52"/>
      <c r="IL52"/>
      <c r="IM52"/>
    </row>
    <row r="53" ht="12.75">
      <c r="A53" s="20"/>
    </row>
  </sheetData>
  <sheetProtection/>
  <mergeCells count="11">
    <mergeCell ref="A7:F7"/>
    <mergeCell ref="A9:A10"/>
    <mergeCell ref="B9:B10"/>
    <mergeCell ref="C9:C10"/>
    <mergeCell ref="D9:D10"/>
    <mergeCell ref="E9:E10"/>
    <mergeCell ref="F9:F10"/>
    <mergeCell ref="A19:B19"/>
    <mergeCell ref="A30:B30"/>
    <mergeCell ref="A38:B38"/>
    <mergeCell ref="A40:D4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M53"/>
  <sheetViews>
    <sheetView view="pageBreakPreview" zoomScaleNormal="90" zoomScaleSheetLayoutView="100" zoomScalePageLayoutView="0" workbookViewId="0" topLeftCell="A1">
      <selection activeCell="A33" sqref="A33:F33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65</v>
      </c>
      <c r="D2"/>
      <c r="E2"/>
      <c r="F2" s="3"/>
    </row>
    <row r="3" spans="1:6" ht="12.75">
      <c r="A3" s="18" t="s">
        <v>63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250.6</v>
      </c>
      <c r="D5" s="7" t="s">
        <v>1</v>
      </c>
      <c r="E5" s="8">
        <f>B5*8</f>
        <v>2004.8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5" t="s">
        <v>3</v>
      </c>
      <c r="B9" s="187" t="s">
        <v>4</v>
      </c>
      <c r="C9" s="187" t="s">
        <v>5</v>
      </c>
      <c r="D9" s="187" t="s">
        <v>6</v>
      </c>
      <c r="E9" s="190" t="s">
        <v>7</v>
      </c>
      <c r="F9" s="200" t="s">
        <v>8</v>
      </c>
    </row>
    <row r="10" spans="1:7" ht="12.75">
      <c r="A10" s="198"/>
      <c r="B10" s="199"/>
      <c r="C10" s="199"/>
      <c r="D10" s="199"/>
      <c r="E10" s="197"/>
      <c r="F10" s="201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E5</f>
        <v>2004.8</v>
      </c>
      <c r="E13" s="37">
        <v>2</v>
      </c>
      <c r="F13" s="38">
        <f aca="true" t="shared" si="0" ref="F13:F18">E13*D13</f>
        <v>4009.6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300.71999999999997</v>
      </c>
      <c r="E14" s="37">
        <v>105</v>
      </c>
      <c r="F14" s="38">
        <f t="shared" si="0"/>
        <v>31575.6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200.48000000000002</v>
      </c>
      <c r="E15" s="37">
        <v>120</v>
      </c>
      <c r="F15" s="38">
        <f t="shared" si="0"/>
        <v>24057.600000000002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2004.8</v>
      </c>
      <c r="E16" s="37">
        <v>3.7</v>
      </c>
      <c r="F16" s="38">
        <f t="shared" si="0"/>
        <v>7417.76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E5</f>
        <v>2004.8</v>
      </c>
      <c r="E17" s="37">
        <v>1.3</v>
      </c>
      <c r="F17" s="38">
        <f t="shared" si="0"/>
        <v>2606.2400000000002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200.48000000000002</v>
      </c>
      <c r="E18" s="37">
        <v>216</v>
      </c>
      <c r="F18" s="38">
        <f t="shared" si="0"/>
        <v>43303.68000000001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204" t="s">
        <v>19</v>
      </c>
      <c r="B19" s="205"/>
      <c r="C19" s="107"/>
      <c r="D19" s="108"/>
      <c r="E19" s="48"/>
      <c r="F19" s="49">
        <f>SUM(F13:F18)</f>
        <v>112970.48000000001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4.5" customHeight="1">
      <c r="A20" s="10"/>
      <c r="B20" s="11"/>
      <c r="C20" s="11"/>
      <c r="D20" s="11"/>
      <c r="E20" s="11"/>
      <c r="F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Escavação'!J11+'Cal. Escavação'!L11</f>
        <v>733.8960000000001</v>
      </c>
      <c r="E22" s="37">
        <v>11</v>
      </c>
      <c r="F22" s="38">
        <f aca="true" t="shared" si="1" ref="F22:F29">E22*D22</f>
        <v>8072.856000000001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227</v>
      </c>
      <c r="E23" s="37">
        <v>60</v>
      </c>
      <c r="F23" s="38">
        <f t="shared" si="1"/>
        <v>13620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0</v>
      </c>
      <c r="E24" s="37">
        <v>90</v>
      </c>
      <c r="F24" s="38">
        <f t="shared" si="1"/>
        <v>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0</v>
      </c>
      <c r="E25" s="37">
        <v>210</v>
      </c>
      <c r="F25" s="38">
        <f t="shared" si="1"/>
        <v>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>
      <c r="A27" s="34" t="s">
        <v>43</v>
      </c>
      <c r="B27" s="35" t="s">
        <v>29</v>
      </c>
      <c r="C27" s="36" t="s">
        <v>108</v>
      </c>
      <c r="D27" s="37">
        <v>12</v>
      </c>
      <c r="E27" s="37">
        <v>878.3</v>
      </c>
      <c r="F27" s="38">
        <f t="shared" si="1"/>
        <v>10539.599999999999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 customHeight="1">
      <c r="A28" s="34" t="s">
        <v>104</v>
      </c>
      <c r="B28" s="35" t="s">
        <v>31</v>
      </c>
      <c r="C28" s="36" t="s">
        <v>24</v>
      </c>
      <c r="D28" s="37">
        <f>'Cal. Escavação'!M11</f>
        <v>513.7272</v>
      </c>
      <c r="E28" s="37">
        <v>14</v>
      </c>
      <c r="F28" s="38">
        <f t="shared" si="1"/>
        <v>7192.1808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12.75" customHeight="1">
      <c r="A29" s="34" t="s">
        <v>178</v>
      </c>
      <c r="B29" s="44" t="s">
        <v>35</v>
      </c>
      <c r="C29" s="36" t="s">
        <v>27</v>
      </c>
      <c r="D29" s="37">
        <v>511.7</v>
      </c>
      <c r="E29" s="37">
        <v>25</v>
      </c>
      <c r="F29" s="38">
        <f t="shared" si="1"/>
        <v>12792.5</v>
      </c>
      <c r="IE29" s="2"/>
      <c r="IF29" s="2"/>
      <c r="IG29" s="2"/>
      <c r="IH29"/>
      <c r="II29"/>
      <c r="IJ29"/>
      <c r="IK29"/>
      <c r="IL29"/>
      <c r="IM29"/>
    </row>
    <row r="30" spans="1:247" s="9" customFormat="1" ht="12.75">
      <c r="A30" s="202" t="s">
        <v>19</v>
      </c>
      <c r="B30" s="203"/>
      <c r="C30" s="106"/>
      <c r="D30" s="41"/>
      <c r="E30" s="41"/>
      <c r="F30" s="42">
        <f>SUM(F22:F29)</f>
        <v>52217.1368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6" customHeight="1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12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27" customHeight="1">
      <c r="A33" s="34" t="s">
        <v>34</v>
      </c>
      <c r="B33" s="44" t="s">
        <v>121</v>
      </c>
      <c r="C33" s="36" t="s">
        <v>13</v>
      </c>
      <c r="D33" s="37">
        <f>'Quadro Resumo Calçadas'!G13</f>
        <v>1002.4</v>
      </c>
      <c r="E33" s="37">
        <v>44.75</v>
      </c>
      <c r="F33" s="38">
        <f>E33*D33</f>
        <v>44857.4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2.75">
      <c r="A34" s="34" t="s">
        <v>36</v>
      </c>
      <c r="B34" s="44" t="s">
        <v>44</v>
      </c>
      <c r="C34" s="36" t="s">
        <v>108</v>
      </c>
      <c r="D34" s="37">
        <v>6</v>
      </c>
      <c r="E34" s="37">
        <v>300</v>
      </c>
      <c r="F34" s="38">
        <f>E34*D34</f>
        <v>1800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2.5">
      <c r="A35" s="34" t="s">
        <v>48</v>
      </c>
      <c r="B35" s="44" t="s">
        <v>123</v>
      </c>
      <c r="C35" s="36" t="s">
        <v>108</v>
      </c>
      <c r="D35" s="37">
        <v>7</v>
      </c>
      <c r="E35" s="37">
        <v>200</v>
      </c>
      <c r="F35" s="38">
        <f>E35*D35</f>
        <v>1400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2.75" customHeight="1">
      <c r="A36" s="34" t="s">
        <v>105</v>
      </c>
      <c r="B36" s="44" t="s">
        <v>106</v>
      </c>
      <c r="C36" s="36" t="s">
        <v>13</v>
      </c>
      <c r="D36" s="37">
        <v>0</v>
      </c>
      <c r="E36" s="37">
        <v>17</v>
      </c>
      <c r="F36" s="38">
        <f>E36*D36</f>
        <v>0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2.75">
      <c r="A37" s="34" t="s">
        <v>107</v>
      </c>
      <c r="B37" s="44" t="s">
        <v>37</v>
      </c>
      <c r="C37" s="36" t="s">
        <v>13</v>
      </c>
      <c r="D37" s="37">
        <f>B5*0.4</f>
        <v>100.24000000000001</v>
      </c>
      <c r="E37" s="37">
        <v>17</v>
      </c>
      <c r="F37" s="38">
        <f>E37*D37</f>
        <v>1704.0800000000002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1.25" customHeight="1">
      <c r="A38" s="202" t="s">
        <v>19</v>
      </c>
      <c r="B38" s="206"/>
      <c r="C38" s="41"/>
      <c r="D38" s="41"/>
      <c r="E38" s="41"/>
      <c r="F38" s="42">
        <f>SUM(F33:F37)</f>
        <v>49761.48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7.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2.75" customHeight="1">
      <c r="A40" s="207" t="s">
        <v>38</v>
      </c>
      <c r="B40" s="208"/>
      <c r="C40" s="208"/>
      <c r="D40" s="208"/>
      <c r="E40" s="13"/>
      <c r="F40" s="14">
        <f>F38+F30+F19</f>
        <v>214949.0968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6" customHeight="1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1:247" s="9" customFormat="1" ht="12.75">
      <c r="A42" s="9" t="s">
        <v>125</v>
      </c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12" t="s">
        <v>39</v>
      </c>
      <c r="B43" s="12"/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9" t="s">
        <v>162</v>
      </c>
      <c r="IE44" s="2"/>
      <c r="IF44" s="2"/>
      <c r="IG44" s="2"/>
      <c r="IH44"/>
      <c r="II44"/>
      <c r="IJ44"/>
      <c r="IK44"/>
      <c r="IL44"/>
      <c r="IM44"/>
    </row>
    <row r="45" spans="239:247" s="9" customFormat="1" ht="12.75"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spans="239:247" s="9" customFormat="1" ht="12.75">
      <c r="IE52" s="2"/>
      <c r="IF52" s="2"/>
      <c r="IG52" s="2"/>
      <c r="IH52"/>
      <c r="II52"/>
      <c r="IJ52"/>
      <c r="IK52"/>
      <c r="IL52"/>
      <c r="IM52"/>
    </row>
    <row r="53" ht="12.75">
      <c r="A53" s="20"/>
    </row>
  </sheetData>
  <sheetProtection/>
  <mergeCells count="11">
    <mergeCell ref="A7:F7"/>
    <mergeCell ref="A9:A10"/>
    <mergeCell ref="B9:B10"/>
    <mergeCell ref="C9:C10"/>
    <mergeCell ref="D9:D10"/>
    <mergeCell ref="E9:E10"/>
    <mergeCell ref="F9:F10"/>
    <mergeCell ref="A19:B19"/>
    <mergeCell ref="A30:B30"/>
    <mergeCell ref="A38:B38"/>
    <mergeCell ref="A40:D4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M52"/>
  <sheetViews>
    <sheetView view="pageBreakPreview" zoomScaleNormal="90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66</v>
      </c>
      <c r="D2"/>
      <c r="E2"/>
      <c r="F2" s="3"/>
    </row>
    <row r="3" spans="1:6" ht="12.75">
      <c r="A3" s="18" t="s">
        <v>63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250.6</v>
      </c>
      <c r="D5" s="7" t="s">
        <v>1</v>
      </c>
      <c r="E5" s="8">
        <f>B5*8</f>
        <v>2004.8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5" t="s">
        <v>3</v>
      </c>
      <c r="B9" s="187" t="s">
        <v>4</v>
      </c>
      <c r="C9" s="187" t="s">
        <v>5</v>
      </c>
      <c r="D9" s="187" t="s">
        <v>6</v>
      </c>
      <c r="E9" s="190" t="s">
        <v>7</v>
      </c>
      <c r="F9" s="200" t="s">
        <v>8</v>
      </c>
    </row>
    <row r="10" spans="1:7" ht="12.75">
      <c r="A10" s="198"/>
      <c r="B10" s="199"/>
      <c r="C10" s="199"/>
      <c r="D10" s="199"/>
      <c r="E10" s="197"/>
      <c r="F10" s="201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$E$5</f>
        <v>2004.8</v>
      </c>
      <c r="E13" s="37">
        <v>2</v>
      </c>
      <c r="F13" s="38">
        <f aca="true" t="shared" si="0" ref="F13:F18">E13*D13</f>
        <v>4009.6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300.71999999999997</v>
      </c>
      <c r="E14" s="37">
        <v>105</v>
      </c>
      <c r="F14" s="38">
        <f t="shared" si="0"/>
        <v>31575.6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200.48000000000002</v>
      </c>
      <c r="E15" s="37">
        <v>120</v>
      </c>
      <c r="F15" s="38">
        <f t="shared" si="0"/>
        <v>24057.600000000002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2004.8</v>
      </c>
      <c r="E16" s="37">
        <v>3.7</v>
      </c>
      <c r="F16" s="38">
        <f t="shared" si="0"/>
        <v>7417.76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E5</f>
        <v>2004.8</v>
      </c>
      <c r="E17" s="37">
        <v>1.3</v>
      </c>
      <c r="F17" s="38">
        <f t="shared" si="0"/>
        <v>2606.2400000000002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200.48000000000002</v>
      </c>
      <c r="E18" s="37">
        <v>216</v>
      </c>
      <c r="F18" s="38">
        <f t="shared" si="0"/>
        <v>43303.68000000001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204" t="s">
        <v>19</v>
      </c>
      <c r="B19" s="205"/>
      <c r="C19" s="107"/>
      <c r="D19" s="108"/>
      <c r="E19" s="48"/>
      <c r="F19" s="49">
        <f>SUM(F13:F18)</f>
        <v>112970.48000000001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4.5" customHeight="1">
      <c r="A20" s="10"/>
      <c r="B20" s="11"/>
      <c r="C20" s="11"/>
      <c r="D20" s="11"/>
      <c r="E20" s="11"/>
      <c r="F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Escavação'!J12+'Cal. Escavação'!L12</f>
        <v>730.2239999999999</v>
      </c>
      <c r="E22" s="37">
        <v>11</v>
      </c>
      <c r="F22" s="38">
        <f aca="true" t="shared" si="1" ref="F22:F29">E22*D22</f>
        <v>8032.463999999999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230</v>
      </c>
      <c r="E23" s="37">
        <v>60</v>
      </c>
      <c r="F23" s="38">
        <f t="shared" si="1"/>
        <v>13800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0</v>
      </c>
      <c r="E24" s="37">
        <v>90</v>
      </c>
      <c r="F24" s="38">
        <f t="shared" si="1"/>
        <v>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0</v>
      </c>
      <c r="E25" s="37">
        <v>210</v>
      </c>
      <c r="F25" s="38">
        <f t="shared" si="1"/>
        <v>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 customHeight="1">
      <c r="A27" s="34" t="s">
        <v>43</v>
      </c>
      <c r="B27" s="35" t="s">
        <v>29</v>
      </c>
      <c r="C27" s="36" t="s">
        <v>108</v>
      </c>
      <c r="D27" s="37">
        <v>7</v>
      </c>
      <c r="E27" s="37">
        <v>878.3</v>
      </c>
      <c r="F27" s="38">
        <f t="shared" si="1"/>
        <v>6148.099999999999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>
      <c r="A28" s="34" t="s">
        <v>104</v>
      </c>
      <c r="B28" s="35" t="s">
        <v>31</v>
      </c>
      <c r="C28" s="36" t="s">
        <v>24</v>
      </c>
      <c r="D28" s="37">
        <f>'Cal. Escavação'!M12</f>
        <v>511.1567999999999</v>
      </c>
      <c r="E28" s="37">
        <v>14</v>
      </c>
      <c r="F28" s="38">
        <f t="shared" si="1"/>
        <v>7156.195199999999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22.5">
      <c r="A29" s="34" t="s">
        <v>178</v>
      </c>
      <c r="B29" s="44" t="s">
        <v>35</v>
      </c>
      <c r="C29" s="36" t="s">
        <v>27</v>
      </c>
      <c r="D29" s="37">
        <v>511.7</v>
      </c>
      <c r="E29" s="37">
        <v>25</v>
      </c>
      <c r="F29" s="38">
        <f t="shared" si="1"/>
        <v>12792.5</v>
      </c>
      <c r="IE29" s="2"/>
      <c r="IF29" s="2"/>
      <c r="IG29" s="2"/>
      <c r="IH29"/>
      <c r="II29"/>
      <c r="IJ29"/>
      <c r="IK29"/>
      <c r="IL29"/>
      <c r="IM29"/>
    </row>
    <row r="30" spans="1:247" s="12" customFormat="1" ht="12.75">
      <c r="A30" s="202" t="s">
        <v>19</v>
      </c>
      <c r="B30" s="203"/>
      <c r="C30" s="106"/>
      <c r="D30" s="41"/>
      <c r="E30" s="41"/>
      <c r="F30" s="42">
        <f>SUM(F22:F29)</f>
        <v>47929.2592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6" customHeight="1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9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27" customHeight="1">
      <c r="A33" s="34" t="s">
        <v>34</v>
      </c>
      <c r="B33" s="44" t="s">
        <v>121</v>
      </c>
      <c r="C33" s="36" t="s">
        <v>13</v>
      </c>
      <c r="D33" s="37">
        <f>'Quadro Resumo Calçadas'!G14</f>
        <v>1002.4</v>
      </c>
      <c r="E33" s="37">
        <v>44.75</v>
      </c>
      <c r="F33" s="38">
        <f>E33*D33</f>
        <v>44857.4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2.75">
      <c r="A34" s="34" t="s">
        <v>36</v>
      </c>
      <c r="B34" s="44" t="s">
        <v>44</v>
      </c>
      <c r="C34" s="36" t="s">
        <v>108</v>
      </c>
      <c r="D34" s="37">
        <v>6</v>
      </c>
      <c r="E34" s="37">
        <v>300</v>
      </c>
      <c r="F34" s="38">
        <f>E34*D34</f>
        <v>1800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1.75" customHeight="1">
      <c r="A35" s="34" t="s">
        <v>48</v>
      </c>
      <c r="B35" s="44" t="s">
        <v>123</v>
      </c>
      <c r="C35" s="36" t="s">
        <v>108</v>
      </c>
      <c r="D35" s="37">
        <v>2</v>
      </c>
      <c r="E35" s="37">
        <v>200</v>
      </c>
      <c r="F35" s="38">
        <f>E35*D35</f>
        <v>400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2.75">
      <c r="A36" s="34" t="s">
        <v>105</v>
      </c>
      <c r="B36" s="44" t="s">
        <v>106</v>
      </c>
      <c r="C36" s="36" t="s">
        <v>13</v>
      </c>
      <c r="D36" s="37">
        <v>0</v>
      </c>
      <c r="E36" s="37">
        <v>17</v>
      </c>
      <c r="F36" s="38">
        <f>E36*D36</f>
        <v>0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2" customHeight="1">
      <c r="A37" s="34" t="s">
        <v>107</v>
      </c>
      <c r="B37" s="44" t="s">
        <v>37</v>
      </c>
      <c r="C37" s="36" t="s">
        <v>13</v>
      </c>
      <c r="D37" s="37">
        <f>B5*0.4</f>
        <v>100.24000000000001</v>
      </c>
      <c r="E37" s="37">
        <v>17</v>
      </c>
      <c r="F37" s="38">
        <f>E37*D37</f>
        <v>1704.0800000000002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2.75">
      <c r="A38" s="202" t="s">
        <v>19</v>
      </c>
      <c r="B38" s="206"/>
      <c r="C38" s="41"/>
      <c r="D38" s="41"/>
      <c r="E38" s="41"/>
      <c r="F38" s="42">
        <f>SUM(F33:F37)</f>
        <v>48761.48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4.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2.75">
      <c r="A40" s="207" t="s">
        <v>124</v>
      </c>
      <c r="B40" s="208"/>
      <c r="C40" s="208"/>
      <c r="D40" s="208"/>
      <c r="E40" s="13"/>
      <c r="F40" s="14">
        <f>F38+F30+F19</f>
        <v>209661.21920000002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6" customHeight="1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1:247" s="9" customFormat="1" ht="12.75">
      <c r="A42" s="9" t="s">
        <v>125</v>
      </c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12" t="s">
        <v>39</v>
      </c>
      <c r="B43" s="12"/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9" t="s">
        <v>162</v>
      </c>
      <c r="IE44" s="2"/>
      <c r="IF44" s="2"/>
      <c r="IG44" s="2"/>
      <c r="IH44"/>
      <c r="II44"/>
      <c r="IJ44"/>
      <c r="IK44"/>
      <c r="IL44"/>
      <c r="IM44"/>
    </row>
    <row r="45" spans="239:247" s="9" customFormat="1" ht="12.75"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ht="12.75">
      <c r="A52" s="20"/>
    </row>
  </sheetData>
  <sheetProtection/>
  <mergeCells count="11">
    <mergeCell ref="A7:F7"/>
    <mergeCell ref="A9:A10"/>
    <mergeCell ref="B9:B10"/>
    <mergeCell ref="C9:C10"/>
    <mergeCell ref="D9:D10"/>
    <mergeCell ref="E9:E10"/>
    <mergeCell ref="F9:F10"/>
    <mergeCell ref="A19:B19"/>
    <mergeCell ref="A30:B30"/>
    <mergeCell ref="A38:B38"/>
    <mergeCell ref="A40:D4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M52"/>
  <sheetViews>
    <sheetView view="pageBreakPreview" zoomScaleNormal="90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67</v>
      </c>
      <c r="D2"/>
      <c r="E2"/>
      <c r="F2" s="3"/>
    </row>
    <row r="3" spans="1:6" ht="12.75">
      <c r="A3" s="18" t="s">
        <v>63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250.6</v>
      </c>
      <c r="D5" s="7" t="s">
        <v>1</v>
      </c>
      <c r="E5" s="8">
        <f>B5*8</f>
        <v>2004.8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5" t="s">
        <v>3</v>
      </c>
      <c r="B9" s="187" t="s">
        <v>4</v>
      </c>
      <c r="C9" s="187" t="s">
        <v>5</v>
      </c>
      <c r="D9" s="187" t="s">
        <v>6</v>
      </c>
      <c r="E9" s="190" t="s">
        <v>7</v>
      </c>
      <c r="F9" s="200" t="s">
        <v>8</v>
      </c>
    </row>
    <row r="10" spans="1:7" ht="12.75">
      <c r="A10" s="198"/>
      <c r="B10" s="199"/>
      <c r="C10" s="199"/>
      <c r="D10" s="199"/>
      <c r="E10" s="197"/>
      <c r="F10" s="201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E5</f>
        <v>2004.8</v>
      </c>
      <c r="E13" s="37">
        <v>2</v>
      </c>
      <c r="F13" s="38">
        <f aca="true" t="shared" si="0" ref="F13:F18">E13*D13</f>
        <v>4009.6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300.71999999999997</v>
      </c>
      <c r="E14" s="37">
        <v>105</v>
      </c>
      <c r="F14" s="38">
        <f t="shared" si="0"/>
        <v>31575.6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200.48000000000002</v>
      </c>
      <c r="E15" s="37">
        <v>120</v>
      </c>
      <c r="F15" s="38">
        <f t="shared" si="0"/>
        <v>24057.600000000002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2004.8</v>
      </c>
      <c r="E16" s="37">
        <v>3.7</v>
      </c>
      <c r="F16" s="38">
        <f t="shared" si="0"/>
        <v>7417.76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E5</f>
        <v>2004.8</v>
      </c>
      <c r="E17" s="37">
        <v>1.3</v>
      </c>
      <c r="F17" s="38">
        <f t="shared" si="0"/>
        <v>2606.2400000000002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200.48000000000002</v>
      </c>
      <c r="E18" s="37">
        <v>216</v>
      </c>
      <c r="F18" s="38">
        <f t="shared" si="0"/>
        <v>43303.68000000001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204" t="s">
        <v>19</v>
      </c>
      <c r="B19" s="205"/>
      <c r="C19" s="107"/>
      <c r="D19" s="108"/>
      <c r="E19" s="48"/>
      <c r="F19" s="49">
        <f>SUM(F13:F18)</f>
        <v>112970.48000000001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4.5" customHeight="1">
      <c r="A20" s="10"/>
      <c r="B20" s="11"/>
      <c r="C20" s="11"/>
      <c r="D20" s="11"/>
      <c r="E20" s="11"/>
      <c r="F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Escavação'!J13+'Cal. Escavação'!L13</f>
        <v>717.9839999999999</v>
      </c>
      <c r="E22" s="37">
        <v>11</v>
      </c>
      <c r="F22" s="38">
        <f aca="true" t="shared" si="1" ref="F22:F29">E22*D22</f>
        <v>7897.823999999999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84</v>
      </c>
      <c r="E23" s="37">
        <v>60</v>
      </c>
      <c r="F23" s="38">
        <f t="shared" si="1"/>
        <v>5040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125</v>
      </c>
      <c r="E24" s="37">
        <v>90</v>
      </c>
      <c r="F24" s="38">
        <f t="shared" si="1"/>
        <v>11250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0</v>
      </c>
      <c r="E25" s="37">
        <v>210</v>
      </c>
      <c r="F25" s="38">
        <f t="shared" si="1"/>
        <v>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 customHeight="1">
      <c r="A27" s="34" t="s">
        <v>43</v>
      </c>
      <c r="B27" s="35" t="s">
        <v>29</v>
      </c>
      <c r="C27" s="36" t="s">
        <v>108</v>
      </c>
      <c r="D27" s="37">
        <v>10</v>
      </c>
      <c r="E27" s="37">
        <v>878.3</v>
      </c>
      <c r="F27" s="38">
        <f t="shared" si="1"/>
        <v>8783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>
      <c r="A28" s="34" t="s">
        <v>104</v>
      </c>
      <c r="B28" s="35" t="s">
        <v>31</v>
      </c>
      <c r="C28" s="36" t="s">
        <v>24</v>
      </c>
      <c r="D28" s="37">
        <f>'Cal. Escavação'!M13</f>
        <v>502.58879999999994</v>
      </c>
      <c r="E28" s="37">
        <v>14</v>
      </c>
      <c r="F28" s="38">
        <f t="shared" si="1"/>
        <v>7036.243199999999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22.5">
      <c r="A29" s="34" t="s">
        <v>178</v>
      </c>
      <c r="B29" s="44" t="s">
        <v>35</v>
      </c>
      <c r="C29" s="36" t="s">
        <v>27</v>
      </c>
      <c r="D29" s="37">
        <v>511.7</v>
      </c>
      <c r="E29" s="37">
        <v>25</v>
      </c>
      <c r="F29" s="38">
        <f t="shared" si="1"/>
        <v>12792.5</v>
      </c>
      <c r="IE29" s="2"/>
      <c r="IF29" s="2"/>
      <c r="IG29" s="2"/>
      <c r="IH29"/>
      <c r="II29"/>
      <c r="IJ29"/>
      <c r="IK29"/>
      <c r="IL29"/>
      <c r="IM29"/>
    </row>
    <row r="30" spans="1:247" s="12" customFormat="1" ht="12.75">
      <c r="A30" s="202" t="s">
        <v>19</v>
      </c>
      <c r="B30" s="203"/>
      <c r="C30" s="106"/>
      <c r="D30" s="41"/>
      <c r="E30" s="41"/>
      <c r="F30" s="42">
        <f>SUM(F22:F29)</f>
        <v>52799.5672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6" customHeight="1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9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27" customHeight="1">
      <c r="A33" s="34" t="s">
        <v>34</v>
      </c>
      <c r="B33" s="44" t="s">
        <v>121</v>
      </c>
      <c r="C33" s="36" t="s">
        <v>13</v>
      </c>
      <c r="D33" s="37">
        <f>'Quadro Resumo Calçadas'!G14</f>
        <v>1002.4</v>
      </c>
      <c r="E33" s="37">
        <v>44.75</v>
      </c>
      <c r="F33" s="38">
        <f>E33*D33</f>
        <v>44857.4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2.75">
      <c r="A34" s="34" t="s">
        <v>36</v>
      </c>
      <c r="B34" s="44" t="s">
        <v>44</v>
      </c>
      <c r="C34" s="36" t="s">
        <v>108</v>
      </c>
      <c r="D34" s="37">
        <v>6</v>
      </c>
      <c r="E34" s="37">
        <v>300</v>
      </c>
      <c r="F34" s="38">
        <f>E34*D34</f>
        <v>1800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2.5" customHeight="1">
      <c r="A35" s="34" t="s">
        <v>48</v>
      </c>
      <c r="B35" s="44" t="s">
        <v>123</v>
      </c>
      <c r="C35" s="36" t="s">
        <v>108</v>
      </c>
      <c r="D35" s="37">
        <v>7</v>
      </c>
      <c r="E35" s="37">
        <v>200</v>
      </c>
      <c r="F35" s="38">
        <f>E35*D35</f>
        <v>1400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2.75">
      <c r="A36" s="34" t="s">
        <v>105</v>
      </c>
      <c r="B36" s="44" t="s">
        <v>106</v>
      </c>
      <c r="C36" s="36" t="s">
        <v>13</v>
      </c>
      <c r="D36" s="37">
        <v>0</v>
      </c>
      <c r="E36" s="37">
        <v>17</v>
      </c>
      <c r="F36" s="38">
        <f>E36*D36</f>
        <v>0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2.75" customHeight="1">
      <c r="A37" s="34" t="s">
        <v>107</v>
      </c>
      <c r="B37" s="44" t="s">
        <v>37</v>
      </c>
      <c r="C37" s="36" t="s">
        <v>13</v>
      </c>
      <c r="D37" s="37">
        <f>B5*0.4</f>
        <v>100.24000000000001</v>
      </c>
      <c r="E37" s="37">
        <v>17</v>
      </c>
      <c r="F37" s="38">
        <f>E37*D37</f>
        <v>1704.0800000000002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2.75">
      <c r="A38" s="202" t="s">
        <v>19</v>
      </c>
      <c r="B38" s="206"/>
      <c r="C38" s="41"/>
      <c r="D38" s="41"/>
      <c r="E38" s="41"/>
      <c r="F38" s="42">
        <f>SUM(F33:F37)</f>
        <v>49761.48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4.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2.75">
      <c r="A40" s="207" t="s">
        <v>128</v>
      </c>
      <c r="B40" s="208"/>
      <c r="C40" s="208"/>
      <c r="D40" s="208"/>
      <c r="E40" s="13"/>
      <c r="F40" s="14">
        <f>F38+F30+F19</f>
        <v>215531.5272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6.75" customHeight="1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1:247" s="9" customFormat="1" ht="12.75">
      <c r="A42" s="9" t="s">
        <v>125</v>
      </c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12" t="s">
        <v>39</v>
      </c>
      <c r="B43" s="12"/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9" t="s">
        <v>162</v>
      </c>
      <c r="IE44" s="2"/>
      <c r="IF44" s="2"/>
      <c r="IG44" s="2"/>
      <c r="IH44"/>
      <c r="II44"/>
      <c r="IJ44"/>
      <c r="IK44"/>
      <c r="IL44"/>
      <c r="IM44"/>
    </row>
    <row r="45" spans="239:247" s="9" customFormat="1" ht="12.75"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ht="12.75">
      <c r="A52" s="20"/>
    </row>
  </sheetData>
  <sheetProtection/>
  <mergeCells count="11">
    <mergeCell ref="A7:F7"/>
    <mergeCell ref="A9:A10"/>
    <mergeCell ref="B9:B10"/>
    <mergeCell ref="C9:C10"/>
    <mergeCell ref="D9:D10"/>
    <mergeCell ref="E9:E10"/>
    <mergeCell ref="F9:F10"/>
    <mergeCell ref="A19:B19"/>
    <mergeCell ref="A30:B30"/>
    <mergeCell ref="A38:B38"/>
    <mergeCell ref="A40:D4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M52"/>
  <sheetViews>
    <sheetView view="pageBreakPreview" zoomScaleNormal="90" zoomScaleSheetLayoutView="100" zoomScalePageLayoutView="0" workbookViewId="0" topLeftCell="A1">
      <selection activeCell="A30" sqref="A30:B30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68</v>
      </c>
      <c r="D2"/>
      <c r="E2"/>
      <c r="F2" s="3"/>
    </row>
    <row r="3" spans="1:6" ht="12.75">
      <c r="A3" s="18" t="s">
        <v>63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250.6</v>
      </c>
      <c r="D5" s="7" t="s">
        <v>1</v>
      </c>
      <c r="E5" s="8">
        <f>B5*8</f>
        <v>2004.8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5" t="s">
        <v>3</v>
      </c>
      <c r="B9" s="187" t="s">
        <v>4</v>
      </c>
      <c r="C9" s="187" t="s">
        <v>5</v>
      </c>
      <c r="D9" s="187" t="s">
        <v>6</v>
      </c>
      <c r="E9" s="190" t="s">
        <v>7</v>
      </c>
      <c r="F9" s="200" t="s">
        <v>8</v>
      </c>
    </row>
    <row r="10" spans="1:7" ht="12.75">
      <c r="A10" s="198"/>
      <c r="B10" s="199"/>
      <c r="C10" s="199"/>
      <c r="D10" s="199"/>
      <c r="E10" s="197"/>
      <c r="F10" s="201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E5</f>
        <v>2004.8</v>
      </c>
      <c r="E13" s="37">
        <v>2</v>
      </c>
      <c r="F13" s="38">
        <f aca="true" t="shared" si="0" ref="F13:F18">E13*D13</f>
        <v>4009.6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300.71999999999997</v>
      </c>
      <c r="E14" s="37">
        <v>105</v>
      </c>
      <c r="F14" s="38">
        <f t="shared" si="0"/>
        <v>31575.6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200.48000000000002</v>
      </c>
      <c r="E15" s="37">
        <v>120</v>
      </c>
      <c r="F15" s="38">
        <f t="shared" si="0"/>
        <v>24057.600000000002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2004.8</v>
      </c>
      <c r="E16" s="37">
        <v>3.7</v>
      </c>
      <c r="F16" s="38">
        <f t="shared" si="0"/>
        <v>7417.76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E5</f>
        <v>2004.8</v>
      </c>
      <c r="E17" s="37">
        <v>1.3</v>
      </c>
      <c r="F17" s="38">
        <f t="shared" si="0"/>
        <v>2606.2400000000002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200.48000000000002</v>
      </c>
      <c r="E18" s="37">
        <v>216</v>
      </c>
      <c r="F18" s="38">
        <f t="shared" si="0"/>
        <v>43303.68000000001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204" t="s">
        <v>19</v>
      </c>
      <c r="B19" s="205"/>
      <c r="C19" s="107"/>
      <c r="D19" s="108"/>
      <c r="E19" s="48"/>
      <c r="F19" s="49">
        <f>SUM(F13:F18)</f>
        <v>112970.48000000001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4.5" customHeight="1">
      <c r="A20" s="10"/>
      <c r="B20" s="11"/>
      <c r="C20" s="11"/>
      <c r="D20" s="11"/>
      <c r="E20" s="11"/>
      <c r="F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Escavação'!J14+'Cal. Escavação'!L14</f>
        <v>661.6080000000001</v>
      </c>
      <c r="E22" s="37">
        <v>11</v>
      </c>
      <c r="F22" s="38">
        <f aca="true" t="shared" si="1" ref="F22:F29">E22*D22</f>
        <v>7277.688000000001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207</v>
      </c>
      <c r="E23" s="37">
        <v>60</v>
      </c>
      <c r="F23" s="38">
        <f t="shared" si="1"/>
        <v>12420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0</v>
      </c>
      <c r="E24" s="37">
        <v>90</v>
      </c>
      <c r="F24" s="38">
        <f t="shared" si="1"/>
        <v>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0</v>
      </c>
      <c r="E25" s="37">
        <v>210</v>
      </c>
      <c r="F25" s="38">
        <f t="shared" si="1"/>
        <v>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 customHeight="1">
      <c r="A27" s="34" t="s">
        <v>43</v>
      </c>
      <c r="B27" s="35" t="s">
        <v>29</v>
      </c>
      <c r="C27" s="36" t="s">
        <v>108</v>
      </c>
      <c r="D27" s="37">
        <v>8</v>
      </c>
      <c r="E27" s="37">
        <v>878.3</v>
      </c>
      <c r="F27" s="38">
        <f t="shared" si="1"/>
        <v>7026.4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>
      <c r="A28" s="34" t="s">
        <v>104</v>
      </c>
      <c r="B28" s="35" t="s">
        <v>31</v>
      </c>
      <c r="C28" s="36" t="s">
        <v>24</v>
      </c>
      <c r="D28" s="37">
        <f>'Cal. Escavação'!M14</f>
        <v>463.1256</v>
      </c>
      <c r="E28" s="37">
        <v>14</v>
      </c>
      <c r="F28" s="38">
        <f t="shared" si="1"/>
        <v>6483.758400000001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22.5">
      <c r="A29" s="34" t="s">
        <v>178</v>
      </c>
      <c r="B29" s="44" t="s">
        <v>35</v>
      </c>
      <c r="C29" s="36" t="s">
        <v>27</v>
      </c>
      <c r="D29" s="37">
        <v>511.7</v>
      </c>
      <c r="E29" s="37">
        <v>25</v>
      </c>
      <c r="F29" s="38">
        <f t="shared" si="1"/>
        <v>12792.5</v>
      </c>
      <c r="IE29" s="2"/>
      <c r="IF29" s="2"/>
      <c r="IG29" s="2"/>
      <c r="IH29"/>
      <c r="II29"/>
      <c r="IJ29"/>
      <c r="IK29"/>
      <c r="IL29"/>
      <c r="IM29"/>
    </row>
    <row r="30" spans="1:247" s="12" customFormat="1" ht="12.75">
      <c r="A30" s="202" t="s">
        <v>19</v>
      </c>
      <c r="B30" s="203"/>
      <c r="C30" s="106"/>
      <c r="D30" s="41"/>
      <c r="E30" s="41"/>
      <c r="F30" s="42">
        <f>SUM(F22:F29)</f>
        <v>46000.3464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7.5" customHeight="1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9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27" customHeight="1">
      <c r="A33" s="34" t="s">
        <v>34</v>
      </c>
      <c r="B33" s="44" t="s">
        <v>121</v>
      </c>
      <c r="C33" s="36" t="s">
        <v>13</v>
      </c>
      <c r="D33" s="37">
        <f>'Quadro Resumo Calçadas'!G16</f>
        <v>1002.4</v>
      </c>
      <c r="E33" s="37">
        <v>44.75</v>
      </c>
      <c r="F33" s="38">
        <f>E33*D33</f>
        <v>44857.4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3.5" customHeight="1">
      <c r="A34" s="34" t="s">
        <v>36</v>
      </c>
      <c r="B34" s="44" t="s">
        <v>44</v>
      </c>
      <c r="C34" s="36" t="s">
        <v>108</v>
      </c>
      <c r="D34" s="37">
        <v>6</v>
      </c>
      <c r="E34" s="37">
        <v>300</v>
      </c>
      <c r="F34" s="38">
        <f>E34*D34</f>
        <v>1800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4" customHeight="1">
      <c r="A35" s="34" t="s">
        <v>48</v>
      </c>
      <c r="B35" s="44" t="s">
        <v>123</v>
      </c>
      <c r="C35" s="36" t="s">
        <v>108</v>
      </c>
      <c r="D35" s="37">
        <v>7</v>
      </c>
      <c r="E35" s="37">
        <v>200</v>
      </c>
      <c r="F35" s="38">
        <f>E35*D35</f>
        <v>1400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4.25" customHeight="1">
      <c r="A36" s="34" t="s">
        <v>105</v>
      </c>
      <c r="B36" s="44" t="s">
        <v>106</v>
      </c>
      <c r="C36" s="36" t="s">
        <v>13</v>
      </c>
      <c r="D36" s="37">
        <v>0</v>
      </c>
      <c r="E36" s="37">
        <v>17</v>
      </c>
      <c r="F36" s="38">
        <f>E36*D36</f>
        <v>0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2.75" customHeight="1">
      <c r="A37" s="34" t="s">
        <v>107</v>
      </c>
      <c r="B37" s="44" t="s">
        <v>37</v>
      </c>
      <c r="C37" s="36" t="s">
        <v>13</v>
      </c>
      <c r="D37" s="37">
        <f>B5*0.4</f>
        <v>100.24000000000001</v>
      </c>
      <c r="E37" s="37">
        <v>17</v>
      </c>
      <c r="F37" s="38">
        <f>E37*D37</f>
        <v>1704.0800000000002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2.75">
      <c r="A38" s="202" t="s">
        <v>19</v>
      </c>
      <c r="B38" s="206"/>
      <c r="C38" s="41"/>
      <c r="D38" s="41"/>
      <c r="E38" s="41"/>
      <c r="F38" s="42">
        <f>SUM(F33:F37)</f>
        <v>49761.48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4.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2.75">
      <c r="A40" s="207" t="s">
        <v>38</v>
      </c>
      <c r="B40" s="208"/>
      <c r="C40" s="208"/>
      <c r="D40" s="208"/>
      <c r="E40" s="13"/>
      <c r="F40" s="14">
        <f>F38+F30+F19</f>
        <v>208732.3064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12.75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1:247" s="9" customFormat="1" ht="12.75">
      <c r="A42" s="9" t="s">
        <v>125</v>
      </c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12" t="s">
        <v>39</v>
      </c>
      <c r="B43" s="12"/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9" t="s">
        <v>162</v>
      </c>
      <c r="IE44" s="2"/>
      <c r="IF44" s="2"/>
      <c r="IG44" s="2"/>
      <c r="IH44"/>
      <c r="II44"/>
      <c r="IJ44"/>
      <c r="IK44"/>
      <c r="IL44"/>
      <c r="IM44"/>
    </row>
    <row r="45" spans="239:247" s="9" customFormat="1" ht="12.75"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ht="12.75">
      <c r="A52" s="20"/>
    </row>
  </sheetData>
  <sheetProtection/>
  <mergeCells count="11">
    <mergeCell ref="A7:F7"/>
    <mergeCell ref="A9:A10"/>
    <mergeCell ref="B9:B10"/>
    <mergeCell ref="C9:C10"/>
    <mergeCell ref="D9:D10"/>
    <mergeCell ref="E9:E10"/>
    <mergeCell ref="F9:F10"/>
    <mergeCell ref="A19:B19"/>
    <mergeCell ref="A30:B30"/>
    <mergeCell ref="A38:B38"/>
    <mergeCell ref="A40:D4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M52"/>
  <sheetViews>
    <sheetView view="pageBreakPreview" zoomScaleNormal="90" zoomScaleSheetLayoutView="100" zoomScalePageLayoutView="0" workbookViewId="0" topLeftCell="A19">
      <selection activeCell="B36" sqref="B36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69</v>
      </c>
      <c r="D2"/>
      <c r="E2"/>
      <c r="F2" s="3"/>
    </row>
    <row r="3" spans="1:6" ht="12.75">
      <c r="A3" s="18" t="s">
        <v>63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250.6</v>
      </c>
      <c r="D5" s="7" t="s">
        <v>1</v>
      </c>
      <c r="E5" s="8">
        <f>B5*8</f>
        <v>2004.8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5" t="s">
        <v>3</v>
      </c>
      <c r="B9" s="187" t="s">
        <v>4</v>
      </c>
      <c r="C9" s="187" t="s">
        <v>5</v>
      </c>
      <c r="D9" s="187" t="s">
        <v>6</v>
      </c>
      <c r="E9" s="190" t="s">
        <v>7</v>
      </c>
      <c r="F9" s="200" t="s">
        <v>8</v>
      </c>
    </row>
    <row r="10" spans="1:7" ht="12.75">
      <c r="A10" s="198"/>
      <c r="B10" s="199"/>
      <c r="C10" s="199"/>
      <c r="D10" s="199"/>
      <c r="E10" s="197"/>
      <c r="F10" s="201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$E$5</f>
        <v>2004.8</v>
      </c>
      <c r="E13" s="37">
        <v>2</v>
      </c>
      <c r="F13" s="38">
        <f aca="true" t="shared" si="0" ref="F13:F18">E13*D13</f>
        <v>4009.6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300.71999999999997</v>
      </c>
      <c r="E14" s="37">
        <v>105</v>
      </c>
      <c r="F14" s="38">
        <f t="shared" si="0"/>
        <v>31575.6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200.48000000000002</v>
      </c>
      <c r="E15" s="37">
        <v>120</v>
      </c>
      <c r="F15" s="38">
        <f t="shared" si="0"/>
        <v>24057.600000000002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2004.8</v>
      </c>
      <c r="E16" s="37">
        <v>3.7</v>
      </c>
      <c r="F16" s="38">
        <f t="shared" si="0"/>
        <v>7417.76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E5</f>
        <v>2004.8</v>
      </c>
      <c r="E17" s="37">
        <v>1.3</v>
      </c>
      <c r="F17" s="38">
        <f t="shared" si="0"/>
        <v>2606.2400000000002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200.48000000000002</v>
      </c>
      <c r="E18" s="37">
        <v>216</v>
      </c>
      <c r="F18" s="38">
        <f t="shared" si="0"/>
        <v>43303.68000000001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204" t="s">
        <v>19</v>
      </c>
      <c r="B19" s="205"/>
      <c r="C19" s="107"/>
      <c r="D19" s="108"/>
      <c r="E19" s="48"/>
      <c r="F19" s="49">
        <f>SUM(F13:F18)</f>
        <v>112970.48000000001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4.5" customHeight="1">
      <c r="A20" s="10"/>
      <c r="B20" s="11"/>
      <c r="C20" s="11"/>
      <c r="D20" s="11"/>
      <c r="E20" s="11"/>
      <c r="F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Escavação'!J15+'Cal. Escavação'!L15</f>
        <v>866.016</v>
      </c>
      <c r="E22" s="37">
        <v>11</v>
      </c>
      <c r="F22" s="38">
        <f aca="true" t="shared" si="1" ref="F22:F29">E22*D22</f>
        <v>9526.176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88</v>
      </c>
      <c r="E23" s="37">
        <v>60</v>
      </c>
      <c r="F23" s="38">
        <f t="shared" si="1"/>
        <v>5280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165</v>
      </c>
      <c r="E24" s="37">
        <v>90</v>
      </c>
      <c r="F24" s="38">
        <f t="shared" si="1"/>
        <v>14850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0</v>
      </c>
      <c r="E25" s="37">
        <v>210</v>
      </c>
      <c r="F25" s="38">
        <f t="shared" si="1"/>
        <v>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 customHeight="1">
      <c r="A27" s="34" t="s">
        <v>43</v>
      </c>
      <c r="B27" s="35" t="s">
        <v>29</v>
      </c>
      <c r="C27" s="36" t="s">
        <v>108</v>
      </c>
      <c r="D27" s="37">
        <v>9</v>
      </c>
      <c r="E27" s="37">
        <v>878.3</v>
      </c>
      <c r="F27" s="38">
        <f t="shared" si="1"/>
        <v>7904.7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>
      <c r="A28" s="34" t="s">
        <v>104</v>
      </c>
      <c r="B28" s="35" t="s">
        <v>31</v>
      </c>
      <c r="C28" s="36" t="s">
        <v>24</v>
      </c>
      <c r="D28" s="37">
        <f>'Cal. Escavação'!M15</f>
        <v>606.2112</v>
      </c>
      <c r="E28" s="37">
        <v>14</v>
      </c>
      <c r="F28" s="38">
        <f t="shared" si="1"/>
        <v>8486.9568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22.5">
      <c r="A29" s="34" t="s">
        <v>178</v>
      </c>
      <c r="B29" s="44" t="s">
        <v>35</v>
      </c>
      <c r="C29" s="36" t="s">
        <v>27</v>
      </c>
      <c r="D29" s="37">
        <v>511.7</v>
      </c>
      <c r="E29" s="37">
        <v>25</v>
      </c>
      <c r="F29" s="38">
        <f t="shared" si="1"/>
        <v>12792.5</v>
      </c>
      <c r="IE29" s="2"/>
      <c r="IF29" s="2"/>
      <c r="IG29" s="2"/>
      <c r="IH29"/>
      <c r="II29"/>
      <c r="IJ29"/>
      <c r="IK29"/>
      <c r="IL29"/>
      <c r="IM29"/>
    </row>
    <row r="30" spans="1:247" s="12" customFormat="1" ht="12.75">
      <c r="A30" s="202" t="s">
        <v>19</v>
      </c>
      <c r="B30" s="203"/>
      <c r="C30" s="106"/>
      <c r="D30" s="41"/>
      <c r="E30" s="41"/>
      <c r="F30" s="42">
        <f>SUM(F22:F29)</f>
        <v>58840.3328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12.75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9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26.25" customHeight="1">
      <c r="A33" s="34" t="s">
        <v>34</v>
      </c>
      <c r="B33" s="44" t="s">
        <v>121</v>
      </c>
      <c r="C33" s="36" t="s">
        <v>13</v>
      </c>
      <c r="D33" s="37">
        <f>'Quadro Resumo Calçadas'!G17</f>
        <v>1002.4</v>
      </c>
      <c r="E33" s="37">
        <v>44.75</v>
      </c>
      <c r="F33" s="38">
        <f>E33*D33</f>
        <v>44857.4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2.75">
      <c r="A34" s="34" t="s">
        <v>36</v>
      </c>
      <c r="B34" s="44" t="s">
        <v>44</v>
      </c>
      <c r="C34" s="36" t="s">
        <v>108</v>
      </c>
      <c r="D34" s="37">
        <v>6</v>
      </c>
      <c r="E34" s="37">
        <v>300</v>
      </c>
      <c r="F34" s="38">
        <f>E34*D34</f>
        <v>1800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3.25" customHeight="1">
      <c r="A35" s="34" t="s">
        <v>48</v>
      </c>
      <c r="B35" s="44" t="s">
        <v>123</v>
      </c>
      <c r="C35" s="36" t="s">
        <v>108</v>
      </c>
      <c r="D35" s="37">
        <v>7</v>
      </c>
      <c r="E35" s="37">
        <v>200</v>
      </c>
      <c r="F35" s="38">
        <f>E35*D35</f>
        <v>1400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4.25" customHeight="1">
      <c r="A36" s="34" t="s">
        <v>105</v>
      </c>
      <c r="B36" s="44" t="s">
        <v>106</v>
      </c>
      <c r="C36" s="36" t="s">
        <v>13</v>
      </c>
      <c r="D36" s="37">
        <v>0</v>
      </c>
      <c r="E36" s="37">
        <v>17</v>
      </c>
      <c r="F36" s="38">
        <f>E36*D36</f>
        <v>0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2.75" customHeight="1">
      <c r="A37" s="34" t="s">
        <v>107</v>
      </c>
      <c r="B37" s="44" t="s">
        <v>37</v>
      </c>
      <c r="C37" s="36" t="s">
        <v>13</v>
      </c>
      <c r="D37" s="37">
        <f>B5*0.4</f>
        <v>100.24000000000001</v>
      </c>
      <c r="E37" s="37">
        <v>17</v>
      </c>
      <c r="F37" s="38">
        <f>E37*D37</f>
        <v>1704.0800000000002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2.75">
      <c r="A38" s="202" t="s">
        <v>19</v>
      </c>
      <c r="B38" s="206"/>
      <c r="C38" s="41"/>
      <c r="D38" s="41"/>
      <c r="E38" s="41"/>
      <c r="F38" s="42">
        <f>SUM(F33:F37)</f>
        <v>49761.48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4.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2.75">
      <c r="A40" s="207" t="s">
        <v>38</v>
      </c>
      <c r="B40" s="208"/>
      <c r="C40" s="208"/>
      <c r="D40" s="208"/>
      <c r="E40" s="13"/>
      <c r="F40" s="14">
        <f>F38+F30+F19</f>
        <v>221572.2928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9.75" customHeight="1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1:247" s="9" customFormat="1" ht="12.75">
      <c r="A42" s="9" t="s">
        <v>125</v>
      </c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12" t="s">
        <v>39</v>
      </c>
      <c r="B43" s="12"/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9" t="s">
        <v>162</v>
      </c>
      <c r="IE44" s="2"/>
      <c r="IF44" s="2"/>
      <c r="IG44" s="2"/>
      <c r="IH44"/>
      <c r="II44"/>
      <c r="IJ44"/>
      <c r="IK44"/>
      <c r="IL44"/>
      <c r="IM44"/>
    </row>
    <row r="45" spans="239:247" s="9" customFormat="1" ht="12.75"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ht="12.75">
      <c r="A52" s="20"/>
    </row>
  </sheetData>
  <sheetProtection/>
  <mergeCells count="11">
    <mergeCell ref="A7:F7"/>
    <mergeCell ref="A9:A10"/>
    <mergeCell ref="B9:B10"/>
    <mergeCell ref="C9:C10"/>
    <mergeCell ref="D9:D10"/>
    <mergeCell ref="E9:E10"/>
    <mergeCell ref="F9:F10"/>
    <mergeCell ref="A19:B19"/>
    <mergeCell ref="A30:B30"/>
    <mergeCell ref="A38:B38"/>
    <mergeCell ref="A40:D4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M52"/>
  <sheetViews>
    <sheetView view="pageBreakPreview" zoomScaleNormal="90" zoomScaleSheetLayoutView="100" zoomScalePageLayoutView="0" workbookViewId="0" topLeftCell="A19">
      <selection activeCell="A33" sqref="A33:F33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70</v>
      </c>
      <c r="D2"/>
      <c r="E2"/>
      <c r="F2" s="3"/>
    </row>
    <row r="3" spans="1:6" ht="12.75">
      <c r="A3" s="18" t="s">
        <v>63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250.6</v>
      </c>
      <c r="D5" s="7" t="s">
        <v>1</v>
      </c>
      <c r="E5" s="8">
        <f>B5*8</f>
        <v>2004.8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5" t="s">
        <v>3</v>
      </c>
      <c r="B9" s="187" t="s">
        <v>4</v>
      </c>
      <c r="C9" s="187" t="s">
        <v>5</v>
      </c>
      <c r="D9" s="187" t="s">
        <v>6</v>
      </c>
      <c r="E9" s="190" t="s">
        <v>7</v>
      </c>
      <c r="F9" s="200" t="s">
        <v>8</v>
      </c>
    </row>
    <row r="10" spans="1:7" ht="12.75">
      <c r="A10" s="198"/>
      <c r="B10" s="199"/>
      <c r="C10" s="199"/>
      <c r="D10" s="199"/>
      <c r="E10" s="197"/>
      <c r="F10" s="201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E5</f>
        <v>2004.8</v>
      </c>
      <c r="E13" s="37">
        <v>2</v>
      </c>
      <c r="F13" s="38">
        <f aca="true" t="shared" si="0" ref="F13:F18">E13*D13</f>
        <v>4009.6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300.71999999999997</v>
      </c>
      <c r="E14" s="37">
        <v>105</v>
      </c>
      <c r="F14" s="38">
        <f t="shared" si="0"/>
        <v>31575.6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200.48000000000002</v>
      </c>
      <c r="E15" s="37">
        <v>120</v>
      </c>
      <c r="F15" s="38">
        <f t="shared" si="0"/>
        <v>24057.600000000002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2004.8</v>
      </c>
      <c r="E16" s="37">
        <v>3.7</v>
      </c>
      <c r="F16" s="38">
        <f t="shared" si="0"/>
        <v>7417.76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E5</f>
        <v>2004.8</v>
      </c>
      <c r="E17" s="37">
        <v>1.3</v>
      </c>
      <c r="F17" s="38">
        <f t="shared" si="0"/>
        <v>2606.2400000000002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200.48000000000002</v>
      </c>
      <c r="E18" s="37">
        <v>216</v>
      </c>
      <c r="F18" s="38">
        <f t="shared" si="0"/>
        <v>43303.68000000001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204" t="s">
        <v>19</v>
      </c>
      <c r="B19" s="205"/>
      <c r="C19" s="107"/>
      <c r="D19" s="108"/>
      <c r="E19" s="48"/>
      <c r="F19" s="49">
        <f>SUM(F13:F18)</f>
        <v>112970.48000000001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4.5" customHeight="1">
      <c r="A20" s="10"/>
      <c r="B20" s="11"/>
      <c r="C20" s="11"/>
      <c r="D20" s="11"/>
      <c r="E20" s="11"/>
      <c r="F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Escavação'!J16+'Cal. Escavação'!L16</f>
        <v>449.568</v>
      </c>
      <c r="E22" s="37">
        <v>11</v>
      </c>
      <c r="F22" s="38">
        <f aca="true" t="shared" si="1" ref="F22:F29">E22*D22</f>
        <v>4945.248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136</v>
      </c>
      <c r="E23" s="37">
        <v>60</v>
      </c>
      <c r="F23" s="38">
        <f t="shared" si="1"/>
        <v>8160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0</v>
      </c>
      <c r="E24" s="37">
        <v>90</v>
      </c>
      <c r="F24" s="38">
        <f t="shared" si="1"/>
        <v>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0</v>
      </c>
      <c r="E25" s="37">
        <v>210</v>
      </c>
      <c r="F25" s="38">
        <f t="shared" si="1"/>
        <v>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 customHeight="1">
      <c r="A27" s="34" t="s">
        <v>43</v>
      </c>
      <c r="B27" s="35" t="s">
        <v>29</v>
      </c>
      <c r="C27" s="36" t="s">
        <v>108</v>
      </c>
      <c r="D27" s="37">
        <v>11</v>
      </c>
      <c r="E27" s="37">
        <v>878.3</v>
      </c>
      <c r="F27" s="38">
        <f t="shared" si="1"/>
        <v>9661.3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>
      <c r="A28" s="34" t="s">
        <v>104</v>
      </c>
      <c r="B28" s="35" t="s">
        <v>31</v>
      </c>
      <c r="C28" s="36" t="s">
        <v>24</v>
      </c>
      <c r="D28" s="37">
        <f>'Cal. Escavação'!M16</f>
        <v>314.69759999999997</v>
      </c>
      <c r="E28" s="37">
        <v>14</v>
      </c>
      <c r="F28" s="38">
        <f t="shared" si="1"/>
        <v>4405.7663999999995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22.5">
      <c r="A29" s="34" t="s">
        <v>178</v>
      </c>
      <c r="B29" s="44" t="s">
        <v>35</v>
      </c>
      <c r="C29" s="36" t="s">
        <v>27</v>
      </c>
      <c r="D29" s="37">
        <v>511.7</v>
      </c>
      <c r="E29" s="37">
        <v>25</v>
      </c>
      <c r="F29" s="38">
        <f t="shared" si="1"/>
        <v>12792.5</v>
      </c>
      <c r="IE29" s="2"/>
      <c r="IF29" s="2"/>
      <c r="IG29" s="2"/>
      <c r="IH29"/>
      <c r="II29"/>
      <c r="IJ29"/>
      <c r="IK29"/>
      <c r="IL29"/>
      <c r="IM29"/>
    </row>
    <row r="30" spans="1:247" s="12" customFormat="1" ht="12.75">
      <c r="A30" s="202" t="s">
        <v>19</v>
      </c>
      <c r="B30" s="203"/>
      <c r="C30" s="106"/>
      <c r="D30" s="41"/>
      <c r="E30" s="41"/>
      <c r="F30" s="42">
        <f>SUM(F22:F29)</f>
        <v>39964.8144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12.75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9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27.75" customHeight="1">
      <c r="A33" s="34" t="s">
        <v>34</v>
      </c>
      <c r="B33" s="44" t="s">
        <v>121</v>
      </c>
      <c r="C33" s="36" t="s">
        <v>13</v>
      </c>
      <c r="D33" s="37">
        <f>'Quadro Resumo Calçadas'!G18</f>
        <v>1002.4</v>
      </c>
      <c r="E33" s="37">
        <v>44.75</v>
      </c>
      <c r="F33" s="38">
        <f>E33*D33</f>
        <v>44857.4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2.75">
      <c r="A34" s="34" t="s">
        <v>36</v>
      </c>
      <c r="B34" s="44" t="s">
        <v>44</v>
      </c>
      <c r="C34" s="36" t="s">
        <v>108</v>
      </c>
      <c r="D34" s="37">
        <v>6</v>
      </c>
      <c r="E34" s="37">
        <v>300</v>
      </c>
      <c r="F34" s="38">
        <f>E34*D34</f>
        <v>1800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1.75" customHeight="1">
      <c r="A35" s="34" t="s">
        <v>48</v>
      </c>
      <c r="B35" s="44" t="s">
        <v>123</v>
      </c>
      <c r="C35" s="36" t="s">
        <v>108</v>
      </c>
      <c r="D35" s="37">
        <v>7</v>
      </c>
      <c r="E35" s="37">
        <v>200</v>
      </c>
      <c r="F35" s="38">
        <f>E35*D35</f>
        <v>1400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2.75">
      <c r="A36" s="34" t="s">
        <v>105</v>
      </c>
      <c r="B36" s="44" t="s">
        <v>106</v>
      </c>
      <c r="C36" s="36" t="s">
        <v>13</v>
      </c>
      <c r="D36" s="37">
        <v>0</v>
      </c>
      <c r="E36" s="37">
        <v>17</v>
      </c>
      <c r="F36" s="38">
        <f>E36*D36</f>
        <v>0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3.5" customHeight="1">
      <c r="A37" s="34" t="s">
        <v>107</v>
      </c>
      <c r="B37" s="44" t="s">
        <v>37</v>
      </c>
      <c r="C37" s="36" t="s">
        <v>13</v>
      </c>
      <c r="D37" s="37">
        <f>B5*0.4</f>
        <v>100.24000000000001</v>
      </c>
      <c r="E37" s="37">
        <v>17</v>
      </c>
      <c r="F37" s="38">
        <f>E37*D37</f>
        <v>1704.0800000000002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2.75">
      <c r="A38" s="202" t="s">
        <v>19</v>
      </c>
      <c r="B38" s="206"/>
      <c r="C38" s="41"/>
      <c r="D38" s="41"/>
      <c r="E38" s="41"/>
      <c r="F38" s="42">
        <f>SUM(F33:F37)</f>
        <v>49761.48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4.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2.75">
      <c r="A40" s="207" t="s">
        <v>38</v>
      </c>
      <c r="B40" s="208"/>
      <c r="C40" s="208"/>
      <c r="D40" s="208"/>
      <c r="E40" s="13"/>
      <c r="F40" s="14">
        <f>F38+F30+F19</f>
        <v>202696.77440000002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12.75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1:247" s="9" customFormat="1" ht="12.75">
      <c r="A42" s="9" t="s">
        <v>125</v>
      </c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12" t="s">
        <v>39</v>
      </c>
      <c r="B43" s="12"/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9" t="s">
        <v>162</v>
      </c>
      <c r="IE44" s="2"/>
      <c r="IF44" s="2"/>
      <c r="IG44" s="2"/>
      <c r="IH44"/>
      <c r="II44"/>
      <c r="IJ44"/>
      <c r="IK44"/>
      <c r="IL44"/>
      <c r="IM44"/>
    </row>
    <row r="45" spans="239:247" s="9" customFormat="1" ht="12.75"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ht="12.75">
      <c r="A52" s="20"/>
    </row>
  </sheetData>
  <sheetProtection/>
  <mergeCells count="11">
    <mergeCell ref="A7:F7"/>
    <mergeCell ref="A9:A10"/>
    <mergeCell ref="B9:B10"/>
    <mergeCell ref="C9:C10"/>
    <mergeCell ref="D9:D10"/>
    <mergeCell ref="E9:E10"/>
    <mergeCell ref="F9:F10"/>
    <mergeCell ref="A19:B19"/>
    <mergeCell ref="A30:B30"/>
    <mergeCell ref="A38:B38"/>
    <mergeCell ref="A40:D4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M52"/>
  <sheetViews>
    <sheetView view="pageBreakPreview" zoomScaleNormal="90" zoomScaleSheetLayoutView="100" zoomScalePageLayoutView="0" workbookViewId="0" topLeftCell="A13">
      <selection activeCell="A33" sqref="A33:F33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71</v>
      </c>
      <c r="D2"/>
      <c r="E2"/>
      <c r="F2" s="3"/>
    </row>
    <row r="3" spans="1:6" ht="12.75">
      <c r="A3" s="18" t="s">
        <v>63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250.6</v>
      </c>
      <c r="D5" s="7" t="s">
        <v>1</v>
      </c>
      <c r="E5" s="8">
        <f>B5*8</f>
        <v>2004.8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5" t="s">
        <v>3</v>
      </c>
      <c r="B9" s="187" t="s">
        <v>4</v>
      </c>
      <c r="C9" s="187" t="s">
        <v>5</v>
      </c>
      <c r="D9" s="187" t="s">
        <v>6</v>
      </c>
      <c r="E9" s="190" t="s">
        <v>7</v>
      </c>
      <c r="F9" s="200" t="s">
        <v>8</v>
      </c>
    </row>
    <row r="10" spans="1:7" ht="12.75">
      <c r="A10" s="198"/>
      <c r="B10" s="199"/>
      <c r="C10" s="199"/>
      <c r="D10" s="199"/>
      <c r="E10" s="197"/>
      <c r="F10" s="201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E5</f>
        <v>2004.8</v>
      </c>
      <c r="E13" s="37">
        <v>2</v>
      </c>
      <c r="F13" s="38">
        <f aca="true" t="shared" si="0" ref="F13:F18">E13*D13</f>
        <v>4009.6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300.71999999999997</v>
      </c>
      <c r="E14" s="37">
        <v>105</v>
      </c>
      <c r="F14" s="38">
        <f t="shared" si="0"/>
        <v>31575.6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200.48000000000002</v>
      </c>
      <c r="E15" s="37">
        <v>120</v>
      </c>
      <c r="F15" s="38">
        <f t="shared" si="0"/>
        <v>24057.600000000002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2004.8</v>
      </c>
      <c r="E16" s="37">
        <v>3.7</v>
      </c>
      <c r="F16" s="38">
        <f t="shared" si="0"/>
        <v>7417.76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$E$5</f>
        <v>2004.8</v>
      </c>
      <c r="E17" s="37">
        <v>1.3</v>
      </c>
      <c r="F17" s="38">
        <f t="shared" si="0"/>
        <v>2606.2400000000002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200.48000000000002</v>
      </c>
      <c r="E18" s="37">
        <v>216</v>
      </c>
      <c r="F18" s="38">
        <f t="shared" si="0"/>
        <v>43303.68000000001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204" t="s">
        <v>19</v>
      </c>
      <c r="B19" s="205"/>
      <c r="C19" s="107"/>
      <c r="D19" s="108"/>
      <c r="E19" s="48"/>
      <c r="F19" s="49">
        <f>SUM(F13:F18)</f>
        <v>112970.48000000001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4.5" customHeight="1">
      <c r="A20" s="10"/>
      <c r="B20" s="11"/>
      <c r="C20" s="11"/>
      <c r="D20" s="11"/>
      <c r="E20" s="11"/>
      <c r="F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Escavação'!J17+'Cal. Escavação'!L17</f>
        <v>814.392</v>
      </c>
      <c r="E22" s="37">
        <v>11</v>
      </c>
      <c r="F22" s="38">
        <f aca="true" t="shared" si="1" ref="F22:F29">E22*D22</f>
        <v>8958.312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73</v>
      </c>
      <c r="E23" s="37">
        <v>60</v>
      </c>
      <c r="F23" s="38">
        <f t="shared" si="1"/>
        <v>4380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165</v>
      </c>
      <c r="E24" s="37">
        <v>90</v>
      </c>
      <c r="F24" s="38">
        <f t="shared" si="1"/>
        <v>14850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0</v>
      </c>
      <c r="E25" s="37">
        <v>210</v>
      </c>
      <c r="F25" s="38">
        <f t="shared" si="1"/>
        <v>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 customHeight="1">
      <c r="A27" s="34" t="s">
        <v>43</v>
      </c>
      <c r="B27" s="35" t="s">
        <v>29</v>
      </c>
      <c r="C27" s="36" t="s">
        <v>108</v>
      </c>
      <c r="D27" s="37">
        <v>7</v>
      </c>
      <c r="E27" s="37">
        <v>878.3</v>
      </c>
      <c r="F27" s="38">
        <f t="shared" si="1"/>
        <v>6148.099999999999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>
      <c r="A28" s="34" t="s">
        <v>104</v>
      </c>
      <c r="B28" s="35" t="s">
        <v>31</v>
      </c>
      <c r="C28" s="36" t="s">
        <v>24</v>
      </c>
      <c r="D28" s="37">
        <f>'Cal. Escavação'!M17</f>
        <v>570.0744</v>
      </c>
      <c r="E28" s="37">
        <v>14</v>
      </c>
      <c r="F28" s="38">
        <f t="shared" si="1"/>
        <v>7981.0416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22.5">
      <c r="A29" s="34" t="s">
        <v>178</v>
      </c>
      <c r="B29" s="44" t="s">
        <v>35</v>
      </c>
      <c r="C29" s="36" t="s">
        <v>27</v>
      </c>
      <c r="D29" s="37">
        <v>511.7</v>
      </c>
      <c r="E29" s="37">
        <v>25</v>
      </c>
      <c r="F29" s="38">
        <f t="shared" si="1"/>
        <v>12792.5</v>
      </c>
      <c r="IE29" s="2"/>
      <c r="IF29" s="2"/>
      <c r="IG29" s="2"/>
      <c r="IH29"/>
      <c r="II29"/>
      <c r="IJ29"/>
      <c r="IK29"/>
      <c r="IL29"/>
      <c r="IM29"/>
    </row>
    <row r="30" spans="1:247" s="12" customFormat="1" ht="12.75">
      <c r="A30" s="202" t="s">
        <v>19</v>
      </c>
      <c r="B30" s="203"/>
      <c r="C30" s="106"/>
      <c r="D30" s="41"/>
      <c r="E30" s="41"/>
      <c r="F30" s="42">
        <f>SUM(F22:F29)</f>
        <v>55109.95359999999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6" customHeight="1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9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29.25" customHeight="1">
      <c r="A33" s="34" t="s">
        <v>34</v>
      </c>
      <c r="B33" s="44" t="s">
        <v>121</v>
      </c>
      <c r="C33" s="36" t="s">
        <v>13</v>
      </c>
      <c r="D33" s="37">
        <f>'Quadro Resumo Calçadas'!G19</f>
        <v>751.8</v>
      </c>
      <c r="E33" s="37">
        <v>44.75</v>
      </c>
      <c r="F33" s="38">
        <f>E33*D33</f>
        <v>33643.049999999996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2.75">
      <c r="A34" s="34" t="s">
        <v>36</v>
      </c>
      <c r="B34" s="44" t="s">
        <v>44</v>
      </c>
      <c r="C34" s="36" t="s">
        <v>108</v>
      </c>
      <c r="D34" s="37">
        <v>6</v>
      </c>
      <c r="E34" s="37">
        <v>300</v>
      </c>
      <c r="F34" s="38">
        <f>E34*D34</f>
        <v>1800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4.75" customHeight="1">
      <c r="A35" s="34" t="s">
        <v>48</v>
      </c>
      <c r="B35" s="44" t="s">
        <v>123</v>
      </c>
      <c r="C35" s="36" t="s">
        <v>108</v>
      </c>
      <c r="D35" s="37">
        <v>7</v>
      </c>
      <c r="E35" s="37">
        <v>200</v>
      </c>
      <c r="F35" s="38">
        <f>E35*D35</f>
        <v>1400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2.75">
      <c r="A36" s="34" t="s">
        <v>105</v>
      </c>
      <c r="B36" s="44" t="s">
        <v>106</v>
      </c>
      <c r="C36" s="36" t="s">
        <v>13</v>
      </c>
      <c r="D36" s="37">
        <v>0</v>
      </c>
      <c r="E36" s="37">
        <v>17</v>
      </c>
      <c r="F36" s="38">
        <f>E36*D36</f>
        <v>0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2" customHeight="1">
      <c r="A37" s="34" t="s">
        <v>107</v>
      </c>
      <c r="B37" s="44" t="s">
        <v>37</v>
      </c>
      <c r="C37" s="36" t="s">
        <v>13</v>
      </c>
      <c r="D37" s="37">
        <f>B5*0.4</f>
        <v>100.24000000000001</v>
      </c>
      <c r="E37" s="37">
        <v>17</v>
      </c>
      <c r="F37" s="38">
        <f>E37*D37</f>
        <v>1704.0800000000002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2.75">
      <c r="A38" s="202" t="s">
        <v>19</v>
      </c>
      <c r="B38" s="206"/>
      <c r="C38" s="41"/>
      <c r="D38" s="41"/>
      <c r="E38" s="41"/>
      <c r="F38" s="42">
        <f>SUM(F33:F37)</f>
        <v>38547.13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4.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2.75">
      <c r="A40" s="207" t="s">
        <v>38</v>
      </c>
      <c r="B40" s="208"/>
      <c r="C40" s="208"/>
      <c r="D40" s="208"/>
      <c r="E40" s="13"/>
      <c r="F40" s="14">
        <f>F38+F30+F19</f>
        <v>206627.5636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12.75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1:247" s="9" customFormat="1" ht="12.75">
      <c r="A42" s="9" t="s">
        <v>125</v>
      </c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12" t="s">
        <v>39</v>
      </c>
      <c r="B43" s="12"/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9" t="s">
        <v>163</v>
      </c>
      <c r="IE44" s="2"/>
      <c r="IF44" s="2"/>
      <c r="IG44" s="2"/>
      <c r="IH44"/>
      <c r="II44"/>
      <c r="IJ44"/>
      <c r="IK44"/>
      <c r="IL44"/>
      <c r="IM44"/>
    </row>
    <row r="45" spans="239:247" s="9" customFormat="1" ht="12.75"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ht="12.75">
      <c r="A52" s="20">
        <f>'Total TL '!A60</f>
        <v>0</v>
      </c>
    </row>
  </sheetData>
  <sheetProtection/>
  <mergeCells count="11">
    <mergeCell ref="A7:F7"/>
    <mergeCell ref="A9:A10"/>
    <mergeCell ref="B9:B10"/>
    <mergeCell ref="C9:C10"/>
    <mergeCell ref="D9:D10"/>
    <mergeCell ref="E9:E10"/>
    <mergeCell ref="F9:F10"/>
    <mergeCell ref="A19:B19"/>
    <mergeCell ref="A30:B30"/>
    <mergeCell ref="A38:B38"/>
    <mergeCell ref="A40:D4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M52"/>
  <sheetViews>
    <sheetView view="pageBreakPreview" zoomScaleNormal="90" zoomScaleSheetLayoutView="100" zoomScalePageLayoutView="0" workbookViewId="0" topLeftCell="A31">
      <selection activeCell="A33" sqref="A33:F33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72</v>
      </c>
      <c r="D2"/>
      <c r="E2"/>
      <c r="F2" s="3"/>
    </row>
    <row r="3" spans="1:6" ht="12.75">
      <c r="A3" s="18" t="s">
        <v>63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250.6</v>
      </c>
      <c r="D5" s="7" t="s">
        <v>1</v>
      </c>
      <c r="E5" s="8">
        <f>B5*8</f>
        <v>2004.8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5" t="s">
        <v>3</v>
      </c>
      <c r="B9" s="187" t="s">
        <v>4</v>
      </c>
      <c r="C9" s="187" t="s">
        <v>5</v>
      </c>
      <c r="D9" s="187" t="s">
        <v>6</v>
      </c>
      <c r="E9" s="190" t="s">
        <v>7</v>
      </c>
      <c r="F9" s="200" t="s">
        <v>8</v>
      </c>
    </row>
    <row r="10" spans="1:7" ht="12.75">
      <c r="A10" s="198"/>
      <c r="B10" s="199"/>
      <c r="C10" s="199"/>
      <c r="D10" s="199"/>
      <c r="E10" s="197"/>
      <c r="F10" s="201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$E$5</f>
        <v>2004.8</v>
      </c>
      <c r="E13" s="37">
        <v>2</v>
      </c>
      <c r="F13" s="38">
        <f aca="true" t="shared" si="0" ref="F13:F18">E13*D13</f>
        <v>4009.6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300.71999999999997</v>
      </c>
      <c r="E14" s="37">
        <v>105</v>
      </c>
      <c r="F14" s="38">
        <f t="shared" si="0"/>
        <v>31575.6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200.48000000000002</v>
      </c>
      <c r="E15" s="37">
        <v>120</v>
      </c>
      <c r="F15" s="38">
        <f t="shared" si="0"/>
        <v>24057.600000000002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2004.8</v>
      </c>
      <c r="E16" s="37">
        <v>3.7</v>
      </c>
      <c r="F16" s="38">
        <f t="shared" si="0"/>
        <v>7417.76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E5</f>
        <v>2004.8</v>
      </c>
      <c r="E17" s="37">
        <v>1.3</v>
      </c>
      <c r="F17" s="38">
        <f t="shared" si="0"/>
        <v>2606.2400000000002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200.48000000000002</v>
      </c>
      <c r="E18" s="37">
        <v>216</v>
      </c>
      <c r="F18" s="38">
        <f t="shared" si="0"/>
        <v>43303.68000000001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204" t="s">
        <v>19</v>
      </c>
      <c r="B19" s="205"/>
      <c r="C19" s="107"/>
      <c r="D19" s="108"/>
      <c r="E19" s="48"/>
      <c r="F19" s="49">
        <f>SUM(F13:F18)</f>
        <v>112970.48000000001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4.5" customHeight="1">
      <c r="A20" s="10"/>
      <c r="B20" s="11"/>
      <c r="C20" s="11"/>
      <c r="D20" s="11"/>
      <c r="E20" s="11"/>
      <c r="F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Escavação'!J18+'Cal. Escavação'!L18</f>
        <v>788.6160000000001</v>
      </c>
      <c r="E22" s="37">
        <v>11</v>
      </c>
      <c r="F22" s="38">
        <f aca="true" t="shared" si="1" ref="F22:F29">E22*D22</f>
        <v>8674.776000000002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147</v>
      </c>
      <c r="E23" s="37">
        <v>60</v>
      </c>
      <c r="F23" s="38">
        <f t="shared" si="1"/>
        <v>8820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92</v>
      </c>
      <c r="E24" s="37">
        <v>90</v>
      </c>
      <c r="F24" s="38">
        <f t="shared" si="1"/>
        <v>8280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0</v>
      </c>
      <c r="E25" s="37">
        <v>210</v>
      </c>
      <c r="F25" s="38">
        <f t="shared" si="1"/>
        <v>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 customHeight="1">
      <c r="A27" s="34" t="s">
        <v>43</v>
      </c>
      <c r="B27" s="35" t="s">
        <v>29</v>
      </c>
      <c r="C27" s="36" t="s">
        <v>108</v>
      </c>
      <c r="D27" s="37">
        <v>6</v>
      </c>
      <c r="E27" s="37">
        <v>878.3</v>
      </c>
      <c r="F27" s="38">
        <f t="shared" si="1"/>
        <v>5269.799999999999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>
      <c r="A28" s="34" t="s">
        <v>104</v>
      </c>
      <c r="B28" s="35" t="s">
        <v>31</v>
      </c>
      <c r="C28" s="36" t="s">
        <v>24</v>
      </c>
      <c r="D28" s="37">
        <f>'Cal. Escavação'!M18</f>
        <v>552.0312</v>
      </c>
      <c r="E28" s="37">
        <v>14</v>
      </c>
      <c r="F28" s="38">
        <f t="shared" si="1"/>
        <v>7728.4368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22.5">
      <c r="A29" s="34" t="s">
        <v>178</v>
      </c>
      <c r="B29" s="44" t="s">
        <v>35</v>
      </c>
      <c r="C29" s="36" t="s">
        <v>27</v>
      </c>
      <c r="D29" s="37">
        <v>511.7</v>
      </c>
      <c r="E29" s="37">
        <v>25</v>
      </c>
      <c r="F29" s="38">
        <f t="shared" si="1"/>
        <v>12792.5</v>
      </c>
      <c r="IE29" s="2"/>
      <c r="IF29" s="2"/>
      <c r="IG29" s="2"/>
      <c r="IH29"/>
      <c r="II29"/>
      <c r="IJ29"/>
      <c r="IK29"/>
      <c r="IL29"/>
      <c r="IM29"/>
    </row>
    <row r="30" spans="1:247" s="12" customFormat="1" ht="12.75">
      <c r="A30" s="202" t="s">
        <v>19</v>
      </c>
      <c r="B30" s="203"/>
      <c r="C30" s="106"/>
      <c r="D30" s="41"/>
      <c r="E30" s="41"/>
      <c r="F30" s="42">
        <f>SUM(F22:F29)</f>
        <v>51565.512800000004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4.5" customHeight="1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9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33.75">
      <c r="A33" s="34" t="s">
        <v>34</v>
      </c>
      <c r="B33" s="44" t="s">
        <v>121</v>
      </c>
      <c r="C33" s="36" t="s">
        <v>13</v>
      </c>
      <c r="D33" s="37">
        <f>'Quadro Resumo Calçadas'!G20+'Quadro Resumo Calçadas'!G21</f>
        <v>835.1</v>
      </c>
      <c r="E33" s="37">
        <v>44.75</v>
      </c>
      <c r="F33" s="38">
        <f>E33*D33</f>
        <v>37370.725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2.75">
      <c r="A34" s="34" t="s">
        <v>36</v>
      </c>
      <c r="B34" s="44" t="s">
        <v>44</v>
      </c>
      <c r="C34" s="36" t="s">
        <v>108</v>
      </c>
      <c r="D34" s="37">
        <v>6</v>
      </c>
      <c r="E34" s="37">
        <v>300</v>
      </c>
      <c r="F34" s="38">
        <f>E34*D34</f>
        <v>1800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4.75" customHeight="1">
      <c r="A35" s="34" t="s">
        <v>48</v>
      </c>
      <c r="B35" s="44" t="s">
        <v>123</v>
      </c>
      <c r="C35" s="36" t="s">
        <v>108</v>
      </c>
      <c r="D35" s="37">
        <v>7</v>
      </c>
      <c r="E35" s="37">
        <v>200</v>
      </c>
      <c r="F35" s="38">
        <f>E35*D35</f>
        <v>1400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2.75">
      <c r="A36" s="34" t="s">
        <v>105</v>
      </c>
      <c r="B36" s="44" t="s">
        <v>106</v>
      </c>
      <c r="C36" s="36" t="s">
        <v>13</v>
      </c>
      <c r="D36" s="37">
        <v>0</v>
      </c>
      <c r="E36" s="37">
        <v>17</v>
      </c>
      <c r="F36" s="38">
        <f>E36*D36</f>
        <v>0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4.25" customHeight="1">
      <c r="A37" s="34" t="s">
        <v>107</v>
      </c>
      <c r="B37" s="44" t="s">
        <v>37</v>
      </c>
      <c r="C37" s="36" t="s">
        <v>13</v>
      </c>
      <c r="D37" s="37">
        <f>B5*0.4</f>
        <v>100.24000000000001</v>
      </c>
      <c r="E37" s="37">
        <v>17</v>
      </c>
      <c r="F37" s="38">
        <f>E37*D37</f>
        <v>1704.0800000000002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2.75">
      <c r="A38" s="202" t="s">
        <v>19</v>
      </c>
      <c r="B38" s="206"/>
      <c r="C38" s="41"/>
      <c r="D38" s="41"/>
      <c r="E38" s="41"/>
      <c r="F38" s="42">
        <f>SUM(F33:F37)</f>
        <v>42274.805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4.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2.75">
      <c r="A40" s="207" t="s">
        <v>38</v>
      </c>
      <c r="B40" s="208"/>
      <c r="C40" s="208"/>
      <c r="D40" s="208"/>
      <c r="E40" s="13"/>
      <c r="F40" s="14">
        <f>F38+F30+F19</f>
        <v>206810.7978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7.5" customHeight="1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1:247" s="9" customFormat="1" ht="12.75">
      <c r="A42" s="9" t="s">
        <v>125</v>
      </c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12" t="s">
        <v>39</v>
      </c>
      <c r="B43" s="12"/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9" t="s">
        <v>164</v>
      </c>
      <c r="IE44" s="2"/>
      <c r="IF44" s="2"/>
      <c r="IG44" s="2"/>
      <c r="IH44"/>
      <c r="II44"/>
      <c r="IJ44"/>
      <c r="IK44"/>
      <c r="IL44"/>
      <c r="IM44"/>
    </row>
    <row r="45" spans="239:247" s="9" customFormat="1" ht="12.75"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ht="12.75">
      <c r="A52" s="20">
        <f>'Total TL '!A60</f>
        <v>0</v>
      </c>
    </row>
  </sheetData>
  <sheetProtection/>
  <mergeCells count="11">
    <mergeCell ref="A7:F7"/>
    <mergeCell ref="A9:A10"/>
    <mergeCell ref="B9:B10"/>
    <mergeCell ref="C9:C10"/>
    <mergeCell ref="D9:D10"/>
    <mergeCell ref="E9:E10"/>
    <mergeCell ref="F9:F10"/>
    <mergeCell ref="A19:B19"/>
    <mergeCell ref="A30:B30"/>
    <mergeCell ref="A38:B38"/>
    <mergeCell ref="A40:D4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M52"/>
  <sheetViews>
    <sheetView view="pageBreakPreview" zoomScaleNormal="90" zoomScaleSheetLayoutView="100" zoomScalePageLayoutView="0" workbookViewId="0" topLeftCell="A25">
      <selection activeCell="B22" sqref="B22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73</v>
      </c>
      <c r="D2"/>
      <c r="E2"/>
      <c r="F2" s="3"/>
    </row>
    <row r="3" spans="1:6" ht="12.75">
      <c r="A3" s="18" t="s">
        <v>63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274.6</v>
      </c>
      <c r="D5" s="7" t="s">
        <v>1</v>
      </c>
      <c r="E5" s="8">
        <f>B5*8</f>
        <v>2196.8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5" t="s">
        <v>3</v>
      </c>
      <c r="B9" s="187" t="s">
        <v>4</v>
      </c>
      <c r="C9" s="187" t="s">
        <v>5</v>
      </c>
      <c r="D9" s="187" t="s">
        <v>6</v>
      </c>
      <c r="E9" s="190" t="s">
        <v>7</v>
      </c>
      <c r="F9" s="200" t="s">
        <v>8</v>
      </c>
    </row>
    <row r="10" spans="1:7" ht="12.75">
      <c r="A10" s="198"/>
      <c r="B10" s="199"/>
      <c r="C10" s="199"/>
      <c r="D10" s="199"/>
      <c r="E10" s="197"/>
      <c r="F10" s="201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$E$5</f>
        <v>2196.8</v>
      </c>
      <c r="E13" s="109">
        <v>2</v>
      </c>
      <c r="F13" s="38">
        <f aca="true" t="shared" si="0" ref="F13:F18">E13*D13</f>
        <v>4393.6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329.52000000000004</v>
      </c>
      <c r="E14" s="109">
        <v>105</v>
      </c>
      <c r="F14" s="38">
        <f t="shared" si="0"/>
        <v>34599.600000000006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219.68000000000004</v>
      </c>
      <c r="E15" s="109">
        <v>120</v>
      </c>
      <c r="F15" s="38">
        <f t="shared" si="0"/>
        <v>26361.600000000006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2196.8</v>
      </c>
      <c r="E16" s="109">
        <v>3.7</v>
      </c>
      <c r="F16" s="38">
        <f t="shared" si="0"/>
        <v>8128.160000000001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E5</f>
        <v>2196.8</v>
      </c>
      <c r="E17" s="109">
        <v>1.3</v>
      </c>
      <c r="F17" s="38">
        <f t="shared" si="0"/>
        <v>2855.84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219.68000000000004</v>
      </c>
      <c r="E18" s="109">
        <v>216</v>
      </c>
      <c r="F18" s="38">
        <f t="shared" si="0"/>
        <v>47450.880000000005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204" t="s">
        <v>19</v>
      </c>
      <c r="B19" s="205"/>
      <c r="C19" s="107"/>
      <c r="D19" s="108"/>
      <c r="E19" s="110"/>
      <c r="F19" s="42">
        <f>SUM(F13:F18)</f>
        <v>123789.68000000001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5.25" customHeight="1">
      <c r="A20" s="10"/>
      <c r="B20" s="11"/>
      <c r="C20" s="11"/>
      <c r="D20" s="11"/>
      <c r="E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Escavação'!L19+'Cal. Escavação'!J19</f>
        <v>1018.8000000000001</v>
      </c>
      <c r="E22" s="37">
        <v>11</v>
      </c>
      <c r="F22" s="38">
        <f aca="true" t="shared" si="1" ref="F22:F29">E22*D22</f>
        <v>11206.800000000001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314</v>
      </c>
      <c r="E23" s="37">
        <v>60</v>
      </c>
      <c r="F23" s="38">
        <f t="shared" si="1"/>
        <v>18840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0</v>
      </c>
      <c r="E24" s="37">
        <v>90</v>
      </c>
      <c r="F24" s="38">
        <f t="shared" si="1"/>
        <v>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0</v>
      </c>
      <c r="E25" s="37">
        <v>210</v>
      </c>
      <c r="F25" s="38">
        <f t="shared" si="1"/>
        <v>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 customHeight="1">
      <c r="A27" s="34" t="s">
        <v>43</v>
      </c>
      <c r="B27" s="35" t="s">
        <v>29</v>
      </c>
      <c r="C27" s="36" t="s">
        <v>108</v>
      </c>
      <c r="D27" s="37">
        <v>18</v>
      </c>
      <c r="E27" s="37">
        <v>878.3</v>
      </c>
      <c r="F27" s="38">
        <f t="shared" si="1"/>
        <v>15809.4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>
      <c r="A28" s="34" t="s">
        <v>104</v>
      </c>
      <c r="B28" s="35" t="s">
        <v>31</v>
      </c>
      <c r="C28" s="36" t="s">
        <v>24</v>
      </c>
      <c r="D28" s="37">
        <f>'Cal. Escavação'!M19</f>
        <v>713.16</v>
      </c>
      <c r="E28" s="37">
        <v>14</v>
      </c>
      <c r="F28" s="38">
        <f t="shared" si="1"/>
        <v>9984.24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22.5">
      <c r="A29" s="34" t="s">
        <v>178</v>
      </c>
      <c r="B29" s="44" t="s">
        <v>35</v>
      </c>
      <c r="C29" s="36" t="s">
        <v>27</v>
      </c>
      <c r="D29" s="37">
        <v>511.7</v>
      </c>
      <c r="E29" s="37">
        <v>25</v>
      </c>
      <c r="F29" s="38">
        <f t="shared" si="1"/>
        <v>12792.5</v>
      </c>
      <c r="IE29" s="2"/>
      <c r="IF29" s="2"/>
      <c r="IG29" s="2"/>
      <c r="IH29"/>
      <c r="II29"/>
      <c r="IJ29"/>
      <c r="IK29"/>
      <c r="IL29"/>
      <c r="IM29"/>
    </row>
    <row r="30" spans="1:247" s="12" customFormat="1" ht="12.75">
      <c r="A30" s="202" t="s">
        <v>19</v>
      </c>
      <c r="B30" s="203"/>
      <c r="C30" s="106"/>
      <c r="D30" s="41"/>
      <c r="E30" s="41"/>
      <c r="F30" s="42">
        <f>SUM(F22:F29)</f>
        <v>68632.94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4.5" customHeight="1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9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25.5" customHeight="1">
      <c r="A33" s="34" t="s">
        <v>34</v>
      </c>
      <c r="B33" s="44" t="s">
        <v>121</v>
      </c>
      <c r="C33" s="36" t="s">
        <v>13</v>
      </c>
      <c r="D33" s="37">
        <f>'Quadro Resumo Calçadas'!G22+'Quadro Resumo Calçadas'!G23</f>
        <v>919.4</v>
      </c>
      <c r="E33" s="37">
        <v>44.75</v>
      </c>
      <c r="F33" s="38">
        <f>E33*D33</f>
        <v>41143.15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2.75">
      <c r="A34" s="34" t="s">
        <v>36</v>
      </c>
      <c r="B34" s="44" t="s">
        <v>44</v>
      </c>
      <c r="C34" s="36" t="s">
        <v>108</v>
      </c>
      <c r="D34" s="37">
        <v>6</v>
      </c>
      <c r="E34" s="37">
        <v>300</v>
      </c>
      <c r="F34" s="38">
        <f>E34*D34</f>
        <v>1800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3.25" customHeight="1">
      <c r="A35" s="34" t="s">
        <v>48</v>
      </c>
      <c r="B35" s="44" t="s">
        <v>123</v>
      </c>
      <c r="C35" s="36" t="s">
        <v>108</v>
      </c>
      <c r="D35" s="37">
        <v>7</v>
      </c>
      <c r="E35" s="37">
        <v>200</v>
      </c>
      <c r="F35" s="38">
        <f>E35*D35</f>
        <v>1400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5" customHeight="1">
      <c r="A36" s="34" t="s">
        <v>105</v>
      </c>
      <c r="B36" s="44" t="s">
        <v>106</v>
      </c>
      <c r="C36" s="36" t="s">
        <v>13</v>
      </c>
      <c r="D36" s="37">
        <v>23</v>
      </c>
      <c r="E36" s="37">
        <v>17</v>
      </c>
      <c r="F36" s="38">
        <f>E36*D36</f>
        <v>391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4.25" customHeight="1">
      <c r="A37" s="34" t="s">
        <v>107</v>
      </c>
      <c r="B37" s="44" t="s">
        <v>37</v>
      </c>
      <c r="C37" s="36" t="s">
        <v>13</v>
      </c>
      <c r="D37" s="37">
        <f>B5*0.4</f>
        <v>109.84000000000002</v>
      </c>
      <c r="E37" s="37">
        <v>17</v>
      </c>
      <c r="F37" s="38">
        <f>E37*D37</f>
        <v>1867.2800000000002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2.75">
      <c r="A38" s="202" t="s">
        <v>19</v>
      </c>
      <c r="B38" s="206"/>
      <c r="C38" s="41"/>
      <c r="D38" s="41"/>
      <c r="E38" s="41"/>
      <c r="F38" s="42">
        <f>SUM(F33:F37)</f>
        <v>46601.43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4.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2.75">
      <c r="A40" s="207" t="s">
        <v>124</v>
      </c>
      <c r="B40" s="208"/>
      <c r="C40" s="208"/>
      <c r="D40" s="208"/>
      <c r="E40" s="13"/>
      <c r="F40" s="14">
        <f>F38+F30+F19</f>
        <v>239024.05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6" customHeight="1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1:247" s="9" customFormat="1" ht="12.75">
      <c r="A42" s="9" t="s">
        <v>125</v>
      </c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12" t="s">
        <v>39</v>
      </c>
      <c r="B43" s="12"/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9" t="s">
        <v>164</v>
      </c>
      <c r="IE44" s="2"/>
      <c r="IF44" s="2"/>
      <c r="IG44" s="2"/>
      <c r="IH44"/>
      <c r="II44"/>
      <c r="IJ44"/>
      <c r="IK44"/>
      <c r="IL44"/>
      <c r="IM44"/>
    </row>
    <row r="45" spans="239:247" s="9" customFormat="1" ht="12.75"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ht="12.75">
      <c r="A52" s="20">
        <f>'Total TL '!A60</f>
        <v>0</v>
      </c>
    </row>
  </sheetData>
  <sheetProtection/>
  <mergeCells count="11">
    <mergeCell ref="A7:F7"/>
    <mergeCell ref="A9:A10"/>
    <mergeCell ref="B9:B10"/>
    <mergeCell ref="C9:C10"/>
    <mergeCell ref="D9:D10"/>
    <mergeCell ref="E9:E10"/>
    <mergeCell ref="F9:F10"/>
    <mergeCell ref="A19:B19"/>
    <mergeCell ref="A30:B30"/>
    <mergeCell ref="A38:B38"/>
    <mergeCell ref="A40:D4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5.00390625" style="0" customWidth="1"/>
    <col min="2" max="2" width="9.28125" style="1" customWidth="1"/>
    <col min="3" max="3" width="42.7109375" style="1" customWidth="1"/>
    <col min="4" max="4" width="7.7109375" style="1" customWidth="1"/>
    <col min="5" max="6" width="10.7109375" style="1" customWidth="1"/>
    <col min="7" max="9" width="10.00390625" style="1" customWidth="1"/>
    <col min="10" max="10" width="11.28125" style="1" customWidth="1"/>
    <col min="11" max="11" width="11.8515625" style="1" customWidth="1"/>
    <col min="12" max="12" width="14.140625" style="1" customWidth="1"/>
    <col min="13" max="13" width="10.57421875" style="1" customWidth="1"/>
    <col min="14" max="242" width="9.140625" style="1" customWidth="1"/>
    <col min="243" max="245" width="9.140625" style="2" customWidth="1"/>
  </cols>
  <sheetData>
    <row r="1" spans="2:13" ht="23.25" customHeight="1">
      <c r="B1" s="150" t="s">
        <v>109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2:13" ht="17.2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6" ht="18" customHeight="1">
      <c r="A3" s="55" t="s">
        <v>94</v>
      </c>
      <c r="B3" s="4"/>
      <c r="E3"/>
      <c r="F3"/>
    </row>
    <row r="4" spans="1:6" ht="17.25" customHeight="1" thickBot="1">
      <c r="A4" s="55" t="s">
        <v>119</v>
      </c>
      <c r="B4" s="4"/>
      <c r="E4"/>
      <c r="F4"/>
    </row>
    <row r="5" spans="1:13" ht="54.75" customHeight="1">
      <c r="A5" s="57" t="s">
        <v>3</v>
      </c>
      <c r="B5" s="151" t="s">
        <v>74</v>
      </c>
      <c r="C5" s="152"/>
      <c r="D5" s="152"/>
      <c r="E5" s="57" t="s">
        <v>110</v>
      </c>
      <c r="F5" s="58" t="s">
        <v>111</v>
      </c>
      <c r="G5" s="58" t="s">
        <v>112</v>
      </c>
      <c r="H5" s="58" t="s">
        <v>113</v>
      </c>
      <c r="I5" s="59" t="s">
        <v>114</v>
      </c>
      <c r="J5" s="94" t="s">
        <v>115</v>
      </c>
      <c r="K5" s="92" t="s">
        <v>117</v>
      </c>
      <c r="L5" s="59" t="s">
        <v>118</v>
      </c>
      <c r="M5" s="59" t="s">
        <v>116</v>
      </c>
    </row>
    <row r="6" spans="1:13" ht="26.25" customHeight="1">
      <c r="A6" s="60">
        <v>1</v>
      </c>
      <c r="B6" s="145" t="s">
        <v>80</v>
      </c>
      <c r="C6" s="149"/>
      <c r="D6" s="149"/>
      <c r="E6" s="97">
        <f>624*1.72</f>
        <v>1073.28</v>
      </c>
      <c r="F6" s="53">
        <f>267*1.92</f>
        <v>512.64</v>
      </c>
      <c r="G6" s="56">
        <f>0*2.24</f>
        <v>0</v>
      </c>
      <c r="H6" s="56">
        <f>0*2.44</f>
        <v>0</v>
      </c>
      <c r="I6" s="65">
        <v>1.8</v>
      </c>
      <c r="J6" s="95">
        <f>(E6*I6)+(F6*I6)+(G6*I6)+(H6*I6)</f>
        <v>2854.656</v>
      </c>
      <c r="K6" s="93">
        <v>69</v>
      </c>
      <c r="L6" s="96">
        <f>1.44*I6*K6</f>
        <v>178.848</v>
      </c>
      <c r="M6" s="65">
        <f>(L6+J6)*0.7</f>
        <v>2123.4528</v>
      </c>
    </row>
    <row r="7" spans="1:13" ht="23.25" customHeight="1">
      <c r="A7" s="62">
        <v>2</v>
      </c>
      <c r="B7" s="153" t="s">
        <v>81</v>
      </c>
      <c r="C7" s="154"/>
      <c r="D7" s="154"/>
      <c r="E7" s="97">
        <f>506*1.72</f>
        <v>870.3199999999999</v>
      </c>
      <c r="F7" s="53">
        <f>274*1.92</f>
        <v>526.0799999999999</v>
      </c>
      <c r="G7" s="56">
        <f>187*2.24</f>
        <v>418.88000000000005</v>
      </c>
      <c r="H7" s="56">
        <f aca="true" t="shared" si="0" ref="H7:H19">0*2.44</f>
        <v>0</v>
      </c>
      <c r="I7" s="65">
        <v>2</v>
      </c>
      <c r="J7" s="95">
        <f aca="true" t="shared" si="1" ref="J7:J19">(E7*I7)+(F7*I7)+(G7*I7)+(H7*I7)</f>
        <v>3630.56</v>
      </c>
      <c r="K7" s="93">
        <v>64</v>
      </c>
      <c r="L7" s="96">
        <f aca="true" t="shared" si="2" ref="L7:L19">1.44*I7*K7</f>
        <v>184.32</v>
      </c>
      <c r="M7" s="65">
        <f aca="true" t="shared" si="3" ref="M7:M19">(L7+J7)*0.7</f>
        <v>2670.4159999999997</v>
      </c>
    </row>
    <row r="8" spans="1:13" ht="24.75" customHeight="1">
      <c r="A8" s="63">
        <v>3</v>
      </c>
      <c r="B8" s="145" t="s">
        <v>82</v>
      </c>
      <c r="C8" s="149"/>
      <c r="D8" s="149"/>
      <c r="E8" s="97">
        <f>860*1.72</f>
        <v>1479.2</v>
      </c>
      <c r="F8" s="53">
        <f>207*1.92</f>
        <v>397.44</v>
      </c>
      <c r="G8" s="56">
        <f aca="true" t="shared" si="4" ref="G8:G19">0*2.24</f>
        <v>0</v>
      </c>
      <c r="H8" s="56">
        <f t="shared" si="0"/>
        <v>0</v>
      </c>
      <c r="I8" s="65">
        <v>1.8</v>
      </c>
      <c r="J8" s="95">
        <f t="shared" si="1"/>
        <v>3377.952</v>
      </c>
      <c r="K8" s="93">
        <v>63</v>
      </c>
      <c r="L8" s="96">
        <f t="shared" si="2"/>
        <v>163.296</v>
      </c>
      <c r="M8" s="65">
        <f t="shared" si="3"/>
        <v>2478.8736</v>
      </c>
    </row>
    <row r="9" spans="1:13" ht="24.75" customHeight="1">
      <c r="A9" s="60">
        <v>4</v>
      </c>
      <c r="B9" s="145" t="s">
        <v>83</v>
      </c>
      <c r="C9" s="149"/>
      <c r="D9" s="149"/>
      <c r="E9" s="97">
        <f>106*1.72</f>
        <v>182.32</v>
      </c>
      <c r="F9" s="53">
        <f>146*1.92</f>
        <v>280.32</v>
      </c>
      <c r="G9" s="56">
        <f t="shared" si="4"/>
        <v>0</v>
      </c>
      <c r="H9" s="56">
        <f t="shared" si="0"/>
        <v>0</v>
      </c>
      <c r="I9" s="65">
        <v>1.8</v>
      </c>
      <c r="J9" s="95">
        <f t="shared" si="1"/>
        <v>832.752</v>
      </c>
      <c r="K9" s="93">
        <v>10</v>
      </c>
      <c r="L9" s="96">
        <f t="shared" si="2"/>
        <v>25.92</v>
      </c>
      <c r="M9" s="65">
        <f t="shared" si="3"/>
        <v>601.0704</v>
      </c>
    </row>
    <row r="10" spans="1:13" ht="25.5" customHeight="1">
      <c r="A10" s="62">
        <v>5</v>
      </c>
      <c r="B10" s="145" t="s">
        <v>84</v>
      </c>
      <c r="C10" s="149"/>
      <c r="D10" s="149"/>
      <c r="E10" s="97">
        <f>207*1.72</f>
        <v>356.04</v>
      </c>
      <c r="F10" s="53">
        <v>0</v>
      </c>
      <c r="G10" s="56">
        <f t="shared" si="4"/>
        <v>0</v>
      </c>
      <c r="H10" s="56">
        <f t="shared" si="0"/>
        <v>0</v>
      </c>
      <c r="I10" s="65">
        <v>1.8</v>
      </c>
      <c r="J10" s="95">
        <f t="shared" si="1"/>
        <v>640.8720000000001</v>
      </c>
      <c r="K10" s="93">
        <v>10</v>
      </c>
      <c r="L10" s="96">
        <f t="shared" si="2"/>
        <v>25.92</v>
      </c>
      <c r="M10" s="65">
        <f t="shared" si="3"/>
        <v>466.7544</v>
      </c>
    </row>
    <row r="11" spans="1:13" ht="27.75" customHeight="1">
      <c r="A11" s="63">
        <v>6</v>
      </c>
      <c r="B11" s="145" t="s">
        <v>85</v>
      </c>
      <c r="C11" s="149"/>
      <c r="D11" s="149"/>
      <c r="E11" s="97">
        <f>227*1.72</f>
        <v>390.44</v>
      </c>
      <c r="F11" s="53">
        <v>0</v>
      </c>
      <c r="G11" s="56">
        <f t="shared" si="4"/>
        <v>0</v>
      </c>
      <c r="H11" s="56">
        <f t="shared" si="0"/>
        <v>0</v>
      </c>
      <c r="I11" s="65">
        <v>1.8</v>
      </c>
      <c r="J11" s="95">
        <f t="shared" si="1"/>
        <v>702.792</v>
      </c>
      <c r="K11" s="93">
        <v>12</v>
      </c>
      <c r="L11" s="96">
        <f t="shared" si="2"/>
        <v>31.104</v>
      </c>
      <c r="M11" s="65">
        <f t="shared" si="3"/>
        <v>513.7272</v>
      </c>
    </row>
    <row r="12" spans="1:13" ht="26.25" customHeight="1">
      <c r="A12" s="60">
        <v>7</v>
      </c>
      <c r="B12" s="145" t="s">
        <v>86</v>
      </c>
      <c r="C12" s="149"/>
      <c r="D12" s="149"/>
      <c r="E12" s="97">
        <f>230*1.72</f>
        <v>395.59999999999997</v>
      </c>
      <c r="F12" s="53">
        <v>0</v>
      </c>
      <c r="G12" s="56">
        <f t="shared" si="4"/>
        <v>0</v>
      </c>
      <c r="H12" s="56">
        <f t="shared" si="0"/>
        <v>0</v>
      </c>
      <c r="I12" s="65">
        <v>1.8</v>
      </c>
      <c r="J12" s="95">
        <f t="shared" si="1"/>
        <v>712.0799999999999</v>
      </c>
      <c r="K12" s="93">
        <v>7</v>
      </c>
      <c r="L12" s="96">
        <f t="shared" si="2"/>
        <v>18.144000000000002</v>
      </c>
      <c r="M12" s="65">
        <f t="shared" si="3"/>
        <v>511.1567999999999</v>
      </c>
    </row>
    <row r="13" spans="1:13" ht="26.25" customHeight="1">
      <c r="A13" s="62">
        <v>8</v>
      </c>
      <c r="B13" s="145" t="s">
        <v>87</v>
      </c>
      <c r="C13" s="149"/>
      <c r="D13" s="149"/>
      <c r="E13" s="97">
        <f>84*1.72</f>
        <v>144.48</v>
      </c>
      <c r="F13" s="53">
        <f>125*1.92</f>
        <v>240</v>
      </c>
      <c r="G13" s="56">
        <f t="shared" si="4"/>
        <v>0</v>
      </c>
      <c r="H13" s="56">
        <f t="shared" si="0"/>
        <v>0</v>
      </c>
      <c r="I13" s="65">
        <v>1.8</v>
      </c>
      <c r="J13" s="95">
        <f t="shared" si="1"/>
        <v>692.064</v>
      </c>
      <c r="K13" s="93">
        <v>10</v>
      </c>
      <c r="L13" s="96">
        <f t="shared" si="2"/>
        <v>25.92</v>
      </c>
      <c r="M13" s="65">
        <f t="shared" si="3"/>
        <v>502.58879999999994</v>
      </c>
    </row>
    <row r="14" spans="1:13" ht="28.5" customHeight="1">
      <c r="A14" s="63">
        <v>9</v>
      </c>
      <c r="B14" s="145" t="s">
        <v>88</v>
      </c>
      <c r="C14" s="149"/>
      <c r="D14" s="149"/>
      <c r="E14" s="97">
        <f>207*1.72</f>
        <v>356.04</v>
      </c>
      <c r="F14" s="53">
        <v>0</v>
      </c>
      <c r="G14" s="56">
        <f t="shared" si="4"/>
        <v>0</v>
      </c>
      <c r="H14" s="56">
        <f t="shared" si="0"/>
        <v>0</v>
      </c>
      <c r="I14" s="65">
        <v>1.8</v>
      </c>
      <c r="J14" s="95">
        <f t="shared" si="1"/>
        <v>640.8720000000001</v>
      </c>
      <c r="K14" s="93">
        <v>8</v>
      </c>
      <c r="L14" s="96">
        <f t="shared" si="2"/>
        <v>20.736</v>
      </c>
      <c r="M14" s="65">
        <f t="shared" si="3"/>
        <v>463.1256</v>
      </c>
    </row>
    <row r="15" spans="1:13" ht="25.5" customHeight="1">
      <c r="A15" s="60">
        <v>10</v>
      </c>
      <c r="B15" s="145" t="s">
        <v>89</v>
      </c>
      <c r="C15" s="149"/>
      <c r="D15" s="149"/>
      <c r="E15" s="97">
        <f>88*1.72</f>
        <v>151.35999999999999</v>
      </c>
      <c r="F15" s="53">
        <f>165*1.92</f>
        <v>316.8</v>
      </c>
      <c r="G15" s="56">
        <f t="shared" si="4"/>
        <v>0</v>
      </c>
      <c r="H15" s="56">
        <f t="shared" si="0"/>
        <v>0</v>
      </c>
      <c r="I15" s="65">
        <v>1.8</v>
      </c>
      <c r="J15" s="95">
        <f t="shared" si="1"/>
        <v>842.688</v>
      </c>
      <c r="K15" s="93">
        <v>9</v>
      </c>
      <c r="L15" s="96">
        <f t="shared" si="2"/>
        <v>23.328</v>
      </c>
      <c r="M15" s="65">
        <f t="shared" si="3"/>
        <v>606.2112</v>
      </c>
    </row>
    <row r="16" spans="1:13" ht="27" customHeight="1">
      <c r="A16" s="62">
        <v>11</v>
      </c>
      <c r="B16" s="145" t="s">
        <v>90</v>
      </c>
      <c r="C16" s="149"/>
      <c r="D16" s="149"/>
      <c r="E16" s="97">
        <f>136*1.72</f>
        <v>233.92</v>
      </c>
      <c r="F16" s="53">
        <v>0</v>
      </c>
      <c r="G16" s="56">
        <f t="shared" si="4"/>
        <v>0</v>
      </c>
      <c r="H16" s="56">
        <f t="shared" si="0"/>
        <v>0</v>
      </c>
      <c r="I16" s="65">
        <v>1.8</v>
      </c>
      <c r="J16" s="95">
        <f t="shared" si="1"/>
        <v>421.056</v>
      </c>
      <c r="K16" s="93">
        <v>11</v>
      </c>
      <c r="L16" s="96">
        <f t="shared" si="2"/>
        <v>28.512</v>
      </c>
      <c r="M16" s="65">
        <f t="shared" si="3"/>
        <v>314.69759999999997</v>
      </c>
    </row>
    <row r="17" spans="1:13" ht="27" customHeight="1">
      <c r="A17" s="62">
        <v>12</v>
      </c>
      <c r="B17" s="145" t="s">
        <v>91</v>
      </c>
      <c r="C17" s="149"/>
      <c r="D17" s="149"/>
      <c r="E17" s="97">
        <f>73*1.72</f>
        <v>125.56</v>
      </c>
      <c r="F17" s="53">
        <f>165*1.92</f>
        <v>316.8</v>
      </c>
      <c r="G17" s="56">
        <f t="shared" si="4"/>
        <v>0</v>
      </c>
      <c r="H17" s="56">
        <f t="shared" si="0"/>
        <v>0</v>
      </c>
      <c r="I17" s="65">
        <v>1.8</v>
      </c>
      <c r="J17" s="95">
        <f t="shared" si="1"/>
        <v>796.248</v>
      </c>
      <c r="K17" s="93">
        <v>7</v>
      </c>
      <c r="L17" s="96">
        <f t="shared" si="2"/>
        <v>18.144000000000002</v>
      </c>
      <c r="M17" s="65">
        <f t="shared" si="3"/>
        <v>570.0744</v>
      </c>
    </row>
    <row r="18" spans="1:13" ht="25.5" customHeight="1">
      <c r="A18" s="63">
        <v>13</v>
      </c>
      <c r="B18" s="145" t="s">
        <v>92</v>
      </c>
      <c r="C18" s="149"/>
      <c r="D18" s="149"/>
      <c r="E18" s="97">
        <f>147*1.72</f>
        <v>252.84</v>
      </c>
      <c r="F18" s="53">
        <f>92*1.92</f>
        <v>176.64</v>
      </c>
      <c r="G18" s="56">
        <f t="shared" si="4"/>
        <v>0</v>
      </c>
      <c r="H18" s="56">
        <f t="shared" si="0"/>
        <v>0</v>
      </c>
      <c r="I18" s="65">
        <v>1.8</v>
      </c>
      <c r="J18" s="95">
        <f t="shared" si="1"/>
        <v>773.0640000000001</v>
      </c>
      <c r="K18" s="93">
        <v>6</v>
      </c>
      <c r="L18" s="96">
        <f t="shared" si="2"/>
        <v>15.552</v>
      </c>
      <c r="M18" s="65">
        <f t="shared" si="3"/>
        <v>552.0312</v>
      </c>
    </row>
    <row r="19" spans="1:13" ht="26.25" customHeight="1" thickBot="1">
      <c r="A19" s="63">
        <v>14</v>
      </c>
      <c r="B19" s="144" t="s">
        <v>93</v>
      </c>
      <c r="C19" s="144"/>
      <c r="D19" s="145"/>
      <c r="E19" s="97">
        <f>314*1.72</f>
        <v>540.08</v>
      </c>
      <c r="F19" s="53">
        <v>0</v>
      </c>
      <c r="G19" s="56">
        <f t="shared" si="4"/>
        <v>0</v>
      </c>
      <c r="H19" s="56">
        <f t="shared" si="0"/>
        <v>0</v>
      </c>
      <c r="I19" s="65">
        <v>1.8</v>
      </c>
      <c r="J19" s="100">
        <f t="shared" si="1"/>
        <v>972.1440000000001</v>
      </c>
      <c r="K19" s="104">
        <v>18</v>
      </c>
      <c r="L19" s="102">
        <f t="shared" si="2"/>
        <v>46.656</v>
      </c>
      <c r="M19" s="90">
        <f t="shared" si="3"/>
        <v>713.16</v>
      </c>
    </row>
    <row r="20" spans="1:13" ht="18.75" customHeight="1" thickBot="1">
      <c r="A20" s="146" t="s">
        <v>95</v>
      </c>
      <c r="B20" s="147"/>
      <c r="C20" s="147"/>
      <c r="D20" s="148"/>
      <c r="E20" s="98"/>
      <c r="F20" s="64"/>
      <c r="G20" s="64"/>
      <c r="H20" s="64"/>
      <c r="I20" s="99"/>
      <c r="J20" s="101">
        <f>SUM(J6:J19)</f>
        <v>17889.8</v>
      </c>
      <c r="K20" s="105">
        <f>SUM(K6:K19)</f>
        <v>304</v>
      </c>
      <c r="L20" s="103">
        <f>SUM(L6:L19)</f>
        <v>806.3999999999997</v>
      </c>
      <c r="M20" s="101">
        <f>SUM(M6:M19)</f>
        <v>13087.339999999997</v>
      </c>
    </row>
  </sheetData>
  <sheetProtection/>
  <mergeCells count="17">
    <mergeCell ref="B18:D18"/>
    <mergeCell ref="B8:D8"/>
    <mergeCell ref="B9:D9"/>
    <mergeCell ref="B1:M1"/>
    <mergeCell ref="B5:D5"/>
    <mergeCell ref="B6:D6"/>
    <mergeCell ref="B7:D7"/>
    <mergeCell ref="B19:D19"/>
    <mergeCell ref="A20:D20"/>
    <mergeCell ref="B10:D10"/>
    <mergeCell ref="B11:D11"/>
    <mergeCell ref="B12:D12"/>
    <mergeCell ref="B13:D13"/>
    <mergeCell ref="B14:D14"/>
    <mergeCell ref="B15:D15"/>
    <mergeCell ref="B16:D16"/>
    <mergeCell ref="B17:D17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IJ27"/>
  <sheetViews>
    <sheetView zoomScalePageLayoutView="0" workbookViewId="0" topLeftCell="A7">
      <selection activeCell="B27" sqref="B27"/>
    </sheetView>
  </sheetViews>
  <sheetFormatPr defaultColWidth="9.140625" defaultRowHeight="12.75"/>
  <cols>
    <col min="1" max="1" width="9.28125" style="1" customWidth="1"/>
    <col min="2" max="2" width="31.140625" style="1" customWidth="1"/>
    <col min="3" max="3" width="12.421875" style="1" customWidth="1"/>
    <col min="4" max="4" width="4.421875" style="1" customWidth="1"/>
    <col min="5" max="5" width="9.8515625" style="1" bestFit="1" customWidth="1"/>
    <col min="6" max="6" width="3.8515625" style="1" customWidth="1"/>
    <col min="7" max="7" width="10.28125" style="1" customWidth="1"/>
    <col min="8" max="8" width="4.57421875" style="1" customWidth="1"/>
    <col min="9" max="9" width="10.57421875" style="1" customWidth="1"/>
    <col min="10" max="10" width="3.7109375" style="1" customWidth="1"/>
    <col min="11" max="11" width="9.8515625" style="1" bestFit="1" customWidth="1"/>
    <col min="12" max="12" width="4.421875" style="1" customWidth="1"/>
    <col min="13" max="13" width="11.28125" style="1" bestFit="1" customWidth="1"/>
    <col min="14" max="14" width="4.140625" style="1" customWidth="1"/>
    <col min="15" max="15" width="10.57421875" style="1" bestFit="1" customWidth="1"/>
    <col min="16" max="16" width="4.00390625" style="1" customWidth="1"/>
    <col min="17" max="17" width="9.8515625" style="1" customWidth="1"/>
    <col min="18" max="235" width="9.140625" style="1" customWidth="1"/>
    <col min="236" max="238" width="9.140625" style="2" customWidth="1"/>
  </cols>
  <sheetData>
    <row r="3" spans="2:10" ht="18.75">
      <c r="B3" s="215" t="s">
        <v>57</v>
      </c>
      <c r="C3" s="215"/>
      <c r="D3" s="215"/>
      <c r="E3" s="215"/>
      <c r="F3" s="215"/>
      <c r="G3" s="215"/>
      <c r="H3" s="215"/>
      <c r="I3" s="215"/>
      <c r="J3" s="215"/>
    </row>
    <row r="6" ht="12" customHeight="1"/>
    <row r="7" ht="13.5" customHeight="1"/>
    <row r="8" ht="12.75">
      <c r="A8" s="30" t="str">
        <f>'[2]plan-leve'!A12</f>
        <v>PAVIMENTAÇÃO ASFÁLTICA COM CAUQ, DRENAGEM PLUVIAL E OBRAS COMPLEMENTARES</v>
      </c>
    </row>
    <row r="9" spans="1:3" ht="12.75">
      <c r="A9" s="4" t="s">
        <v>131</v>
      </c>
      <c r="C9" s="3"/>
    </row>
    <row r="10" spans="1:3" ht="12.75">
      <c r="A10" s="214" t="s">
        <v>170</v>
      </c>
      <c r="B10" s="214"/>
      <c r="C10" s="3"/>
    </row>
    <row r="11" spans="1:3" ht="12.75">
      <c r="A11" s="5" t="s">
        <v>0</v>
      </c>
      <c r="B11" s="6">
        <f>'Total TL '!B5</f>
        <v>5395.800000000001</v>
      </c>
      <c r="C11" s="3"/>
    </row>
    <row r="12" ht="3.75" customHeight="1"/>
    <row r="13" spans="1:17" ht="18" customHeight="1">
      <c r="A13" s="220" t="s">
        <v>49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</row>
    <row r="14" spans="4:15" ht="4.5" customHeight="1" thickBot="1">
      <c r="D14" s="222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</row>
    <row r="15" spans="1:17" ht="12.75" customHeight="1">
      <c r="A15" s="216" t="s">
        <v>3</v>
      </c>
      <c r="B15" s="217" t="s">
        <v>4</v>
      </c>
      <c r="C15" s="219" t="s">
        <v>8</v>
      </c>
      <c r="D15" s="212" t="s">
        <v>50</v>
      </c>
      <c r="E15" s="209" t="s">
        <v>51</v>
      </c>
      <c r="F15" s="212" t="s">
        <v>50</v>
      </c>
      <c r="G15" s="209" t="s">
        <v>52</v>
      </c>
      <c r="H15" s="212" t="s">
        <v>50</v>
      </c>
      <c r="I15" s="209" t="s">
        <v>53</v>
      </c>
      <c r="J15" s="212" t="s">
        <v>50</v>
      </c>
      <c r="K15" s="209" t="s">
        <v>54</v>
      </c>
      <c r="L15" s="212" t="s">
        <v>50</v>
      </c>
      <c r="M15" s="209" t="s">
        <v>55</v>
      </c>
      <c r="N15" s="212" t="s">
        <v>50</v>
      </c>
      <c r="O15" s="209" t="s">
        <v>56</v>
      </c>
      <c r="P15" s="212" t="s">
        <v>50</v>
      </c>
      <c r="Q15" s="209" t="s">
        <v>165</v>
      </c>
    </row>
    <row r="16" spans="1:17" ht="12.75">
      <c r="A16" s="216"/>
      <c r="B16" s="218"/>
      <c r="C16" s="219"/>
      <c r="D16" s="213"/>
      <c r="E16" s="210"/>
      <c r="F16" s="213"/>
      <c r="G16" s="210"/>
      <c r="H16" s="213"/>
      <c r="I16" s="210"/>
      <c r="J16" s="213"/>
      <c r="K16" s="210"/>
      <c r="L16" s="213"/>
      <c r="M16" s="210"/>
      <c r="N16" s="213"/>
      <c r="O16" s="210"/>
      <c r="P16" s="213"/>
      <c r="Q16" s="210"/>
    </row>
    <row r="17" spans="1:244" s="9" customFormat="1" ht="15" customHeight="1">
      <c r="A17" s="23" t="s">
        <v>9</v>
      </c>
      <c r="B17" s="24" t="s">
        <v>166</v>
      </c>
      <c r="C17" s="112">
        <f>'Total TL '!F13</f>
        <v>560</v>
      </c>
      <c r="D17" s="116">
        <v>100</v>
      </c>
      <c r="E17" s="113">
        <f>D17%*C17</f>
        <v>560</v>
      </c>
      <c r="F17" s="116">
        <v>0</v>
      </c>
      <c r="G17" s="113">
        <f>F17%*C17</f>
        <v>0</v>
      </c>
      <c r="H17" s="116">
        <v>0</v>
      </c>
      <c r="I17" s="113">
        <f>H17%*C17</f>
        <v>0</v>
      </c>
      <c r="J17" s="116">
        <v>0</v>
      </c>
      <c r="K17" s="113">
        <f>J17%*C17</f>
        <v>0</v>
      </c>
      <c r="L17" s="116">
        <v>0</v>
      </c>
      <c r="M17" s="113">
        <f>L17%*C17</f>
        <v>0</v>
      </c>
      <c r="N17" s="116">
        <v>0</v>
      </c>
      <c r="O17" s="113">
        <f>N17%*C17</f>
        <v>0</v>
      </c>
      <c r="P17" s="116">
        <v>0</v>
      </c>
      <c r="Q17" s="113">
        <f>P17%*C17</f>
        <v>0</v>
      </c>
      <c r="IB17" s="2"/>
      <c r="IC17" s="2"/>
      <c r="ID17" s="2"/>
      <c r="IE17"/>
      <c r="IF17"/>
      <c r="IG17"/>
      <c r="IH17"/>
      <c r="II17"/>
      <c r="IJ17"/>
    </row>
    <row r="18" spans="1:244" s="9" customFormat="1" ht="17.25" customHeight="1">
      <c r="A18" s="25" t="s">
        <v>20</v>
      </c>
      <c r="B18" s="24" t="s">
        <v>167</v>
      </c>
      <c r="C18" s="112">
        <f>'Total TL '!F22</f>
        <v>2463374.060000001</v>
      </c>
      <c r="D18" s="116">
        <v>0</v>
      </c>
      <c r="E18" s="113">
        <f>D18%*C18</f>
        <v>0</v>
      </c>
      <c r="F18" s="116">
        <v>0</v>
      </c>
      <c r="G18" s="113">
        <f>F18%*C18</f>
        <v>0</v>
      </c>
      <c r="H18" s="116">
        <v>20</v>
      </c>
      <c r="I18" s="113">
        <f>H18%*C18</f>
        <v>492674.8120000002</v>
      </c>
      <c r="J18" s="116">
        <v>20</v>
      </c>
      <c r="K18" s="113">
        <f>J18%*C18</f>
        <v>492674.8120000002</v>
      </c>
      <c r="L18" s="116">
        <v>20</v>
      </c>
      <c r="M18" s="113">
        <f>L18%*C18</f>
        <v>492674.8120000002</v>
      </c>
      <c r="N18" s="116">
        <v>20</v>
      </c>
      <c r="O18" s="113">
        <f>N18%*C18</f>
        <v>492674.8120000002</v>
      </c>
      <c r="P18" s="116">
        <v>20</v>
      </c>
      <c r="Q18" s="113">
        <f>P18%*C18</f>
        <v>492674.8120000002</v>
      </c>
      <c r="IB18" s="2"/>
      <c r="IC18" s="2"/>
      <c r="ID18" s="2"/>
      <c r="IE18"/>
      <c r="IF18"/>
      <c r="IG18"/>
      <c r="IH18"/>
      <c r="II18"/>
      <c r="IJ18"/>
    </row>
    <row r="19" spans="1:244" s="9" customFormat="1" ht="17.25" customHeight="1">
      <c r="A19" s="25" t="s">
        <v>32</v>
      </c>
      <c r="B19" s="24" t="s">
        <v>168</v>
      </c>
      <c r="C19" s="112">
        <f>'Total TL '!F33</f>
        <v>1306871.66</v>
      </c>
      <c r="D19" s="116">
        <v>20</v>
      </c>
      <c r="E19" s="113">
        <f>D19%*C19</f>
        <v>261374.332</v>
      </c>
      <c r="F19" s="116">
        <v>30</v>
      </c>
      <c r="G19" s="113">
        <f>F19%*C19</f>
        <v>392061.49799999996</v>
      </c>
      <c r="H19" s="116">
        <v>30</v>
      </c>
      <c r="I19" s="113">
        <f>H19%*C19</f>
        <v>392061.49799999996</v>
      </c>
      <c r="J19" s="116">
        <v>20</v>
      </c>
      <c r="K19" s="113">
        <f>J19%*C19</f>
        <v>261374.332</v>
      </c>
      <c r="L19" s="116">
        <v>0</v>
      </c>
      <c r="M19" s="113">
        <f>L19%*C19</f>
        <v>0</v>
      </c>
      <c r="N19" s="116">
        <v>0</v>
      </c>
      <c r="O19" s="113">
        <f>N19%*C19</f>
        <v>0</v>
      </c>
      <c r="P19" s="116">
        <v>0</v>
      </c>
      <c r="Q19" s="113">
        <f>P19%*C19</f>
        <v>0</v>
      </c>
      <c r="IB19" s="2"/>
      <c r="IC19" s="2"/>
      <c r="ID19" s="2"/>
      <c r="IE19"/>
      <c r="IF19"/>
      <c r="IG19"/>
      <c r="IH19"/>
      <c r="II19"/>
      <c r="IJ19"/>
    </row>
    <row r="20" spans="1:244" s="9" customFormat="1" ht="17.25" customHeight="1">
      <c r="A20" s="25" t="s">
        <v>129</v>
      </c>
      <c r="B20" s="24" t="s">
        <v>169</v>
      </c>
      <c r="C20" s="112">
        <f>'Total TL '!F41</f>
        <v>908375.3125</v>
      </c>
      <c r="D20" s="116">
        <v>0</v>
      </c>
      <c r="E20" s="113">
        <f>D20%*C20</f>
        <v>0</v>
      </c>
      <c r="F20" s="116">
        <v>0</v>
      </c>
      <c r="G20" s="113">
        <f>F20%*C20</f>
        <v>0</v>
      </c>
      <c r="H20" s="116">
        <v>0</v>
      </c>
      <c r="I20" s="113">
        <f>H20%*C20</f>
        <v>0</v>
      </c>
      <c r="J20" s="116">
        <v>0</v>
      </c>
      <c r="K20" s="113">
        <f>J20%*C20</f>
        <v>0</v>
      </c>
      <c r="L20" s="116">
        <v>30</v>
      </c>
      <c r="M20" s="113">
        <f>L20%*C20</f>
        <v>272512.59375</v>
      </c>
      <c r="N20" s="116">
        <v>30</v>
      </c>
      <c r="O20" s="113">
        <f>N20%*C20</f>
        <v>272512.59375</v>
      </c>
      <c r="P20" s="116">
        <v>40</v>
      </c>
      <c r="Q20" s="113">
        <f>P20%*C20</f>
        <v>363350.125</v>
      </c>
      <c r="IB20" s="2"/>
      <c r="IC20" s="2"/>
      <c r="ID20" s="2"/>
      <c r="IE20"/>
      <c r="IF20"/>
      <c r="IG20"/>
      <c r="IH20"/>
      <c r="II20"/>
      <c r="IJ20"/>
    </row>
    <row r="21" spans="1:244" s="9" customFormat="1" ht="19.5" customHeight="1">
      <c r="A21" s="211" t="s">
        <v>124</v>
      </c>
      <c r="B21" s="211"/>
      <c r="C21" s="26">
        <f>SUM(C17:C20)</f>
        <v>4679181.032500001</v>
      </c>
      <c r="D21" s="27"/>
      <c r="E21" s="114">
        <f>SUM(E17:E20)</f>
        <v>261934.332</v>
      </c>
      <c r="F21" s="115"/>
      <c r="G21" s="114">
        <f>SUM(G17:G20)</f>
        <v>392061.49799999996</v>
      </c>
      <c r="H21" s="115"/>
      <c r="I21" s="114">
        <f>SUM(I17:I20)</f>
        <v>884736.3100000002</v>
      </c>
      <c r="J21" s="115"/>
      <c r="K21" s="114">
        <f>SUM(K17:K20)</f>
        <v>754049.1440000002</v>
      </c>
      <c r="L21" s="115"/>
      <c r="M21" s="114">
        <f>SUM(M17:M20)</f>
        <v>765187.4057500002</v>
      </c>
      <c r="N21" s="115"/>
      <c r="O21" s="114">
        <f>SUM(O17:O20)</f>
        <v>765187.4057500002</v>
      </c>
      <c r="P21" s="115"/>
      <c r="Q21" s="114">
        <f>SUM(Q17:Q20)</f>
        <v>856024.9370000002</v>
      </c>
      <c r="IB21" s="2"/>
      <c r="IC21" s="2"/>
      <c r="ID21" s="2"/>
      <c r="IE21"/>
      <c r="IF21"/>
      <c r="IG21"/>
      <c r="IH21"/>
      <c r="II21"/>
      <c r="IJ21"/>
    </row>
    <row r="22" spans="1:244" s="9" customFormat="1" ht="12.75">
      <c r="A22" s="22"/>
      <c r="B22" s="19"/>
      <c r="IB22" s="2"/>
      <c r="IC22" s="2"/>
      <c r="ID22" s="2"/>
      <c r="IE22"/>
      <c r="IF22"/>
      <c r="IG22"/>
      <c r="IH22"/>
      <c r="II22"/>
      <c r="IJ22"/>
    </row>
    <row r="23" spans="236:244" s="9" customFormat="1" ht="10.5" customHeight="1">
      <c r="IB23" s="2"/>
      <c r="IC23" s="2"/>
      <c r="ID23" s="2"/>
      <c r="IE23"/>
      <c r="IF23"/>
      <c r="IG23"/>
      <c r="IH23"/>
      <c r="II23"/>
      <c r="IJ23"/>
    </row>
    <row r="24" spans="1:5" ht="13.5" customHeight="1">
      <c r="A24" s="15"/>
      <c r="B24" s="16"/>
      <c r="C24" s="29"/>
      <c r="E24" s="28"/>
    </row>
    <row r="25" spans="1:2" ht="12.75">
      <c r="A25" s="21"/>
      <c r="B25" s="28"/>
    </row>
    <row r="26" ht="12.75">
      <c r="C26" s="28"/>
    </row>
    <row r="27" ht="12.75">
      <c r="B27" s="137"/>
    </row>
  </sheetData>
  <sheetProtection/>
  <mergeCells count="22">
    <mergeCell ref="A10:B10"/>
    <mergeCell ref="B3:J3"/>
    <mergeCell ref="J15:J16"/>
    <mergeCell ref="A15:A16"/>
    <mergeCell ref="B15:B16"/>
    <mergeCell ref="C15:C16"/>
    <mergeCell ref="G15:G16"/>
    <mergeCell ref="H15:H16"/>
    <mergeCell ref="A13:Q13"/>
    <mergeCell ref="D14:O14"/>
    <mergeCell ref="P15:P16"/>
    <mergeCell ref="Q15:Q16"/>
    <mergeCell ref="L15:L16"/>
    <mergeCell ref="M15:M16"/>
    <mergeCell ref="N15:N16"/>
    <mergeCell ref="O15:O16"/>
    <mergeCell ref="K15:K16"/>
    <mergeCell ref="I15:I16"/>
    <mergeCell ref="A21:B21"/>
    <mergeCell ref="D15:D16"/>
    <mergeCell ref="E15:E16"/>
    <mergeCell ref="F15:F16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4.8515625" style="0" customWidth="1"/>
    <col min="2" max="2" width="9.28125" style="1" customWidth="1"/>
    <col min="3" max="3" width="42.7109375" style="1" customWidth="1"/>
    <col min="4" max="4" width="7.7109375" style="1" customWidth="1"/>
    <col min="5" max="5" width="12.57421875" style="1" customWidth="1"/>
    <col min="6" max="6" width="12.8515625" style="1" customWidth="1"/>
    <col min="7" max="7" width="12.7109375" style="1" customWidth="1"/>
    <col min="8" max="236" width="9.140625" style="1" customWidth="1"/>
    <col min="237" max="239" width="9.140625" style="2" customWidth="1"/>
  </cols>
  <sheetData>
    <row r="1" spans="1:7" ht="23.25" customHeight="1">
      <c r="A1" s="150" t="s">
        <v>97</v>
      </c>
      <c r="B1" s="150"/>
      <c r="C1" s="150"/>
      <c r="D1" s="150"/>
      <c r="E1" s="150"/>
      <c r="F1" s="150"/>
      <c r="G1" s="150"/>
    </row>
    <row r="2" spans="2:7" ht="17.25" customHeight="1">
      <c r="B2" s="52"/>
      <c r="C2" s="52"/>
      <c r="D2" s="52"/>
      <c r="E2" s="52"/>
      <c r="F2" s="52"/>
      <c r="G2" s="52"/>
    </row>
    <row r="3" spans="1:5" ht="18" customHeight="1">
      <c r="A3" s="55" t="s">
        <v>94</v>
      </c>
      <c r="B3" s="4"/>
      <c r="E3"/>
    </row>
    <row r="4" spans="1:5" ht="17.25" customHeight="1" thickBot="1">
      <c r="A4" s="55" t="s">
        <v>161</v>
      </c>
      <c r="B4" s="4"/>
      <c r="E4"/>
    </row>
    <row r="5" spans="1:7" ht="38.25" customHeight="1" thickBot="1">
      <c r="A5" s="66" t="s">
        <v>3</v>
      </c>
      <c r="B5" s="160" t="s">
        <v>74</v>
      </c>
      <c r="C5" s="161"/>
      <c r="D5" s="162"/>
      <c r="E5" s="67" t="s">
        <v>75</v>
      </c>
      <c r="F5" s="67" t="s">
        <v>98</v>
      </c>
      <c r="G5" s="68" t="s">
        <v>76</v>
      </c>
    </row>
    <row r="6" spans="1:7" ht="18" customHeight="1">
      <c r="A6" s="166">
        <v>1</v>
      </c>
      <c r="B6" s="167" t="s">
        <v>80</v>
      </c>
      <c r="C6" s="168"/>
      <c r="D6" s="169"/>
      <c r="E6" s="69">
        <v>159</v>
      </c>
      <c r="F6" s="70">
        <v>1.5</v>
      </c>
      <c r="G6" s="71">
        <v>238.5</v>
      </c>
    </row>
    <row r="7" spans="1:7" ht="16.5" customHeight="1">
      <c r="A7" s="176"/>
      <c r="B7" s="173"/>
      <c r="C7" s="174"/>
      <c r="D7" s="175"/>
      <c r="E7" s="53">
        <v>159.2</v>
      </c>
      <c r="F7" s="56">
        <v>1.8</v>
      </c>
      <c r="G7" s="65">
        <v>286.56</v>
      </c>
    </row>
    <row r="8" spans="1:7" ht="17.25" customHeight="1" thickBot="1">
      <c r="A8" s="155"/>
      <c r="B8" s="170"/>
      <c r="C8" s="171"/>
      <c r="D8" s="172"/>
      <c r="E8" s="72">
        <v>1426.6</v>
      </c>
      <c r="F8" s="73">
        <v>2</v>
      </c>
      <c r="G8" s="74">
        <v>2853.2</v>
      </c>
    </row>
    <row r="9" spans="1:7" ht="24" customHeight="1" thickBot="1">
      <c r="A9" s="75">
        <v>2</v>
      </c>
      <c r="B9" s="163" t="s">
        <v>81</v>
      </c>
      <c r="C9" s="164"/>
      <c r="D9" s="165"/>
      <c r="E9" s="76">
        <v>1583.8</v>
      </c>
      <c r="F9" s="77">
        <v>1.5</v>
      </c>
      <c r="G9" s="78">
        <v>2375.7</v>
      </c>
    </row>
    <row r="10" spans="1:7" ht="24.75" customHeight="1" thickBot="1">
      <c r="A10" s="79">
        <v>3</v>
      </c>
      <c r="B10" s="157" t="s">
        <v>82</v>
      </c>
      <c r="C10" s="158"/>
      <c r="D10" s="159"/>
      <c r="E10" s="80">
        <v>1578.3</v>
      </c>
      <c r="F10" s="77">
        <v>1.5</v>
      </c>
      <c r="G10" s="78">
        <f>E10*F10</f>
        <v>2367.45</v>
      </c>
    </row>
    <row r="11" spans="1:7" ht="24.75" customHeight="1" thickBot="1">
      <c r="A11" s="81">
        <v>4</v>
      </c>
      <c r="B11" s="157" t="s">
        <v>83</v>
      </c>
      <c r="C11" s="158"/>
      <c r="D11" s="159"/>
      <c r="E11" s="80">
        <v>505.2</v>
      </c>
      <c r="F11" s="77">
        <v>2</v>
      </c>
      <c r="G11" s="78">
        <f aca="true" t="shared" si="0" ref="G11:G23">E11*F11</f>
        <v>1010.4</v>
      </c>
    </row>
    <row r="12" spans="1:7" ht="25.5" customHeight="1" thickBot="1">
      <c r="A12" s="75">
        <v>5</v>
      </c>
      <c r="B12" s="157" t="s">
        <v>84</v>
      </c>
      <c r="C12" s="158"/>
      <c r="D12" s="159"/>
      <c r="E12" s="80">
        <v>501.2</v>
      </c>
      <c r="F12" s="77">
        <v>1.5</v>
      </c>
      <c r="G12" s="78">
        <f t="shared" si="0"/>
        <v>751.8</v>
      </c>
    </row>
    <row r="13" spans="1:7" ht="28.5" customHeight="1" thickBot="1">
      <c r="A13" s="79">
        <v>6</v>
      </c>
      <c r="B13" s="157" t="s">
        <v>85</v>
      </c>
      <c r="C13" s="158"/>
      <c r="D13" s="159"/>
      <c r="E13" s="80">
        <v>501.2</v>
      </c>
      <c r="F13" s="77">
        <v>2</v>
      </c>
      <c r="G13" s="78">
        <f t="shared" si="0"/>
        <v>1002.4</v>
      </c>
    </row>
    <row r="14" spans="1:7" ht="24.75" customHeight="1" thickBot="1">
      <c r="A14" s="81">
        <v>7</v>
      </c>
      <c r="B14" s="157" t="s">
        <v>86</v>
      </c>
      <c r="C14" s="158"/>
      <c r="D14" s="159"/>
      <c r="E14" s="80">
        <v>501.2</v>
      </c>
      <c r="F14" s="77">
        <v>2</v>
      </c>
      <c r="G14" s="78">
        <f t="shared" si="0"/>
        <v>1002.4</v>
      </c>
    </row>
    <row r="15" spans="1:7" ht="26.25" customHeight="1" thickBot="1">
      <c r="A15" s="75">
        <v>8</v>
      </c>
      <c r="B15" s="157" t="s">
        <v>87</v>
      </c>
      <c r="C15" s="158"/>
      <c r="D15" s="159"/>
      <c r="E15" s="80">
        <v>501.2</v>
      </c>
      <c r="F15" s="77">
        <v>2</v>
      </c>
      <c r="G15" s="78">
        <f t="shared" si="0"/>
        <v>1002.4</v>
      </c>
    </row>
    <row r="16" spans="1:7" ht="28.5" customHeight="1" thickBot="1">
      <c r="A16" s="79">
        <v>9</v>
      </c>
      <c r="B16" s="157" t="s">
        <v>88</v>
      </c>
      <c r="C16" s="158"/>
      <c r="D16" s="159"/>
      <c r="E16" s="80">
        <v>501.2</v>
      </c>
      <c r="F16" s="77">
        <v>2</v>
      </c>
      <c r="G16" s="78">
        <f t="shared" si="0"/>
        <v>1002.4</v>
      </c>
    </row>
    <row r="17" spans="1:7" ht="25.5" customHeight="1" thickBot="1">
      <c r="A17" s="81">
        <v>10</v>
      </c>
      <c r="B17" s="157" t="s">
        <v>89</v>
      </c>
      <c r="C17" s="158"/>
      <c r="D17" s="159"/>
      <c r="E17" s="80">
        <v>501.2</v>
      </c>
      <c r="F17" s="77">
        <v>2</v>
      </c>
      <c r="G17" s="78">
        <f t="shared" si="0"/>
        <v>1002.4</v>
      </c>
    </row>
    <row r="18" spans="1:7" ht="27" customHeight="1" thickBot="1">
      <c r="A18" s="75">
        <v>11</v>
      </c>
      <c r="B18" s="157" t="s">
        <v>90</v>
      </c>
      <c r="C18" s="158"/>
      <c r="D18" s="159"/>
      <c r="E18" s="80">
        <v>501.2</v>
      </c>
      <c r="F18" s="77">
        <v>2</v>
      </c>
      <c r="G18" s="78">
        <f t="shared" si="0"/>
        <v>1002.4</v>
      </c>
    </row>
    <row r="19" spans="1:7" ht="27" customHeight="1" thickBot="1">
      <c r="A19" s="87">
        <v>12</v>
      </c>
      <c r="B19" s="167" t="s">
        <v>91</v>
      </c>
      <c r="C19" s="168"/>
      <c r="D19" s="169"/>
      <c r="E19" s="84">
        <v>501.2</v>
      </c>
      <c r="F19" s="85">
        <v>1.5</v>
      </c>
      <c r="G19" s="86">
        <f t="shared" si="0"/>
        <v>751.8</v>
      </c>
    </row>
    <row r="20" spans="1:7" ht="18" customHeight="1">
      <c r="A20" s="166">
        <v>13</v>
      </c>
      <c r="B20" s="167" t="s">
        <v>92</v>
      </c>
      <c r="C20" s="168"/>
      <c r="D20" s="169"/>
      <c r="E20" s="69">
        <v>334.6</v>
      </c>
      <c r="F20" s="70">
        <v>1.5</v>
      </c>
      <c r="G20" s="71">
        <f t="shared" si="0"/>
        <v>501.90000000000003</v>
      </c>
    </row>
    <row r="21" spans="1:7" ht="18.75" customHeight="1" thickBot="1">
      <c r="A21" s="176"/>
      <c r="B21" s="173"/>
      <c r="C21" s="174"/>
      <c r="D21" s="175"/>
      <c r="E21" s="88">
        <v>166.6</v>
      </c>
      <c r="F21" s="89">
        <v>2</v>
      </c>
      <c r="G21" s="90">
        <f t="shared" si="0"/>
        <v>333.2</v>
      </c>
    </row>
    <row r="22" spans="1:7" ht="17.25" customHeight="1">
      <c r="A22" s="166">
        <v>14</v>
      </c>
      <c r="B22" s="167" t="s">
        <v>93</v>
      </c>
      <c r="C22" s="168"/>
      <c r="D22" s="169"/>
      <c r="E22" s="69">
        <v>166</v>
      </c>
      <c r="F22" s="70">
        <v>1.5</v>
      </c>
      <c r="G22" s="71">
        <f t="shared" si="0"/>
        <v>249</v>
      </c>
    </row>
    <row r="23" spans="1:7" ht="16.5" customHeight="1" thickBot="1">
      <c r="A23" s="155"/>
      <c r="B23" s="170"/>
      <c r="C23" s="171"/>
      <c r="D23" s="172"/>
      <c r="E23" s="72">
        <v>335.2</v>
      </c>
      <c r="F23" s="73">
        <v>2</v>
      </c>
      <c r="G23" s="74">
        <f t="shared" si="0"/>
        <v>670.4</v>
      </c>
    </row>
    <row r="24" spans="1:7" ht="18.75" customHeight="1" thickBot="1">
      <c r="A24" s="155" t="s">
        <v>95</v>
      </c>
      <c r="B24" s="156"/>
      <c r="C24" s="156"/>
      <c r="D24" s="156"/>
      <c r="E24" s="82">
        <f>SUM(E6:E23)</f>
        <v>10424.100000000002</v>
      </c>
      <c r="F24" s="82"/>
      <c r="G24" s="83">
        <f>SUM(G6:G23)</f>
        <v>18404.31</v>
      </c>
    </row>
    <row r="46" ht="12.75">
      <c r="A46" s="21"/>
    </row>
  </sheetData>
  <sheetProtection/>
  <mergeCells count="20">
    <mergeCell ref="A22:A23"/>
    <mergeCell ref="B22:D23"/>
    <mergeCell ref="B16:D16"/>
    <mergeCell ref="B17:D17"/>
    <mergeCell ref="B19:D19"/>
    <mergeCell ref="B6:D8"/>
    <mergeCell ref="B18:D18"/>
    <mergeCell ref="A6:A8"/>
    <mergeCell ref="B20:D21"/>
    <mergeCell ref="A20:A21"/>
    <mergeCell ref="A24:D24"/>
    <mergeCell ref="A1:G1"/>
    <mergeCell ref="B12:D12"/>
    <mergeCell ref="B13:D13"/>
    <mergeCell ref="B14:D14"/>
    <mergeCell ref="B15:D15"/>
    <mergeCell ref="B5:D5"/>
    <mergeCell ref="B9:D9"/>
    <mergeCell ref="B10:D10"/>
    <mergeCell ref="B11:D11"/>
  </mergeCells>
  <printOptions/>
  <pageMargins left="1.968503937007874" right="0.5118110236220472" top="0.5905511811023623" bottom="0.7874015748031497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Normal="90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5.00390625" style="0" customWidth="1"/>
    <col min="2" max="2" width="9.28125" style="1" customWidth="1"/>
    <col min="3" max="3" width="42.7109375" style="1" customWidth="1"/>
    <col min="4" max="4" width="7.7109375" style="1" customWidth="1"/>
    <col min="5" max="5" width="10.140625" style="1" customWidth="1"/>
    <col min="6" max="6" width="10.00390625" style="1" customWidth="1"/>
    <col min="7" max="7" width="11.7109375" style="1" customWidth="1"/>
    <col min="8" max="8" width="9.8515625" style="1" customWidth="1"/>
    <col min="9" max="9" width="10.8515625" style="1" customWidth="1"/>
    <col min="10" max="10" width="10.00390625" style="1" customWidth="1"/>
    <col min="11" max="239" width="9.140625" style="1" customWidth="1"/>
    <col min="240" max="242" width="9.140625" style="2" customWidth="1"/>
  </cols>
  <sheetData>
    <row r="1" spans="2:10" ht="23.25" customHeight="1">
      <c r="B1" s="150" t="s">
        <v>96</v>
      </c>
      <c r="C1" s="150"/>
      <c r="D1" s="150"/>
      <c r="E1" s="150"/>
      <c r="F1" s="150"/>
      <c r="G1" s="150"/>
      <c r="H1" s="150"/>
      <c r="I1" s="150"/>
      <c r="J1" s="150"/>
    </row>
    <row r="2" spans="2:10" ht="17.25" customHeight="1">
      <c r="B2" s="52"/>
      <c r="C2" s="52"/>
      <c r="D2" s="52"/>
      <c r="E2" s="52"/>
      <c r="F2" s="52"/>
      <c r="G2" s="52"/>
      <c r="H2" s="52"/>
      <c r="I2" s="52"/>
      <c r="J2" s="52"/>
    </row>
    <row r="3" spans="1:6" ht="18" customHeight="1">
      <c r="A3" s="55" t="s">
        <v>94</v>
      </c>
      <c r="B3" s="4"/>
      <c r="E3"/>
      <c r="F3"/>
    </row>
    <row r="4" spans="1:6" ht="17.25" customHeight="1" thickBot="1">
      <c r="A4" s="55" t="s">
        <v>160</v>
      </c>
      <c r="B4" s="4"/>
      <c r="E4"/>
      <c r="F4"/>
    </row>
    <row r="5" spans="1:10" ht="38.25" customHeight="1">
      <c r="A5" s="57" t="s">
        <v>3</v>
      </c>
      <c r="B5" s="151" t="s">
        <v>74</v>
      </c>
      <c r="C5" s="152"/>
      <c r="D5" s="178"/>
      <c r="E5" s="58" t="s">
        <v>75</v>
      </c>
      <c r="F5" s="58" t="s">
        <v>98</v>
      </c>
      <c r="G5" s="58" t="s">
        <v>76</v>
      </c>
      <c r="H5" s="58" t="s">
        <v>77</v>
      </c>
      <c r="I5" s="58" t="s">
        <v>78</v>
      </c>
      <c r="J5" s="59" t="s">
        <v>79</v>
      </c>
    </row>
    <row r="6" spans="1:10" ht="27" customHeight="1">
      <c r="A6" s="60">
        <v>1</v>
      </c>
      <c r="B6" s="145" t="s">
        <v>80</v>
      </c>
      <c r="C6" s="149"/>
      <c r="D6" s="177"/>
      <c r="E6" s="53">
        <v>863.4</v>
      </c>
      <c r="F6" s="53">
        <v>8</v>
      </c>
      <c r="G6" s="56">
        <v>6907.2</v>
      </c>
      <c r="H6" s="56">
        <v>1507.8</v>
      </c>
      <c r="I6" s="56">
        <v>891</v>
      </c>
      <c r="J6" s="61">
        <v>69</v>
      </c>
    </row>
    <row r="7" spans="1:10" ht="23.25" customHeight="1">
      <c r="A7" s="62">
        <v>2</v>
      </c>
      <c r="B7" s="153" t="s">
        <v>81</v>
      </c>
      <c r="C7" s="154"/>
      <c r="D7" s="179"/>
      <c r="E7" s="54">
        <v>863.9</v>
      </c>
      <c r="F7" s="56">
        <v>8</v>
      </c>
      <c r="G7" s="56">
        <f>'Rio do Sul'!E5</f>
        <v>6911.2</v>
      </c>
      <c r="H7" s="56">
        <f>'Rio do Sul'!D29</f>
        <v>1510.8</v>
      </c>
      <c r="I7" s="56">
        <v>967</v>
      </c>
      <c r="J7" s="61">
        <v>64</v>
      </c>
    </row>
    <row r="8" spans="1:10" ht="24.75" customHeight="1">
      <c r="A8" s="63">
        <v>3</v>
      </c>
      <c r="B8" s="145" t="s">
        <v>82</v>
      </c>
      <c r="C8" s="149"/>
      <c r="D8" s="177"/>
      <c r="E8" s="53">
        <f>'H. d Oeste'!B5</f>
        <v>863.9</v>
      </c>
      <c r="F8" s="53">
        <v>8</v>
      </c>
      <c r="G8" s="56">
        <f>'H. d Oeste'!E5</f>
        <v>6911.2</v>
      </c>
      <c r="H8" s="56">
        <f>'H. d Oeste'!D29</f>
        <v>1505.3</v>
      </c>
      <c r="I8" s="56">
        <v>1067</v>
      </c>
      <c r="J8" s="61">
        <v>63</v>
      </c>
    </row>
    <row r="9" spans="1:10" ht="24.75" customHeight="1">
      <c r="A9" s="60">
        <v>4</v>
      </c>
      <c r="B9" s="145" t="s">
        <v>83</v>
      </c>
      <c r="C9" s="149"/>
      <c r="D9" s="177"/>
      <c r="E9" s="53">
        <f>'Cel. Farrapo'!B5</f>
        <v>274.6</v>
      </c>
      <c r="F9" s="53">
        <v>10</v>
      </c>
      <c r="G9" s="56">
        <f>'Cel. Farrapo'!E5</f>
        <v>2746</v>
      </c>
      <c r="H9" s="56">
        <v>498.6</v>
      </c>
      <c r="I9" s="56">
        <v>252</v>
      </c>
      <c r="J9" s="61">
        <v>10</v>
      </c>
    </row>
    <row r="10" spans="1:10" ht="25.5" customHeight="1">
      <c r="A10" s="62">
        <v>5</v>
      </c>
      <c r="B10" s="145" t="s">
        <v>84</v>
      </c>
      <c r="C10" s="149"/>
      <c r="D10" s="177"/>
      <c r="E10" s="53">
        <f>'Gerônimo Deb.'!B5</f>
        <v>250.6</v>
      </c>
      <c r="F10" s="53">
        <v>8</v>
      </c>
      <c r="G10" s="56">
        <f>'Gerônimo Deb.'!E5</f>
        <v>2004.8</v>
      </c>
      <c r="H10" s="56">
        <v>511.7</v>
      </c>
      <c r="I10" s="56">
        <v>207</v>
      </c>
      <c r="J10" s="61">
        <v>10</v>
      </c>
    </row>
    <row r="11" spans="1:10" ht="28.5" customHeight="1">
      <c r="A11" s="63">
        <v>6</v>
      </c>
      <c r="B11" s="145" t="s">
        <v>85</v>
      </c>
      <c r="C11" s="149"/>
      <c r="D11" s="177"/>
      <c r="E11" s="53">
        <f>Lages!B5</f>
        <v>250.6</v>
      </c>
      <c r="F11" s="53">
        <v>8</v>
      </c>
      <c r="G11" s="56">
        <f>Lages!E5</f>
        <v>2004.8</v>
      </c>
      <c r="H11" s="56">
        <v>511.7</v>
      </c>
      <c r="I11" s="56">
        <v>227</v>
      </c>
      <c r="J11" s="61">
        <v>12</v>
      </c>
    </row>
    <row r="12" spans="1:10" ht="24.75" customHeight="1">
      <c r="A12" s="60">
        <v>7</v>
      </c>
      <c r="B12" s="145" t="s">
        <v>86</v>
      </c>
      <c r="C12" s="149"/>
      <c r="D12" s="177"/>
      <c r="E12" s="53">
        <f>Concórdia!B5</f>
        <v>250.6</v>
      </c>
      <c r="F12" s="53">
        <v>8</v>
      </c>
      <c r="G12" s="56">
        <f>Concórdia!E5</f>
        <v>2004.8</v>
      </c>
      <c r="H12" s="56">
        <v>511.7</v>
      </c>
      <c r="I12" s="56">
        <v>230</v>
      </c>
      <c r="J12" s="61">
        <v>7</v>
      </c>
    </row>
    <row r="13" spans="1:10" ht="26.25" customHeight="1">
      <c r="A13" s="62">
        <v>8</v>
      </c>
      <c r="B13" s="145" t="s">
        <v>87</v>
      </c>
      <c r="C13" s="149"/>
      <c r="D13" s="177"/>
      <c r="E13" s="53">
        <f>Piratuba!B5</f>
        <v>250.6</v>
      </c>
      <c r="F13" s="53">
        <v>8</v>
      </c>
      <c r="G13" s="56">
        <f>Piratuba!E5</f>
        <v>2004.8</v>
      </c>
      <c r="H13" s="56">
        <v>511.7</v>
      </c>
      <c r="I13" s="56">
        <v>209</v>
      </c>
      <c r="J13" s="61">
        <v>10</v>
      </c>
    </row>
    <row r="14" spans="1:10" ht="28.5" customHeight="1">
      <c r="A14" s="63">
        <v>9</v>
      </c>
      <c r="B14" s="145" t="s">
        <v>88</v>
      </c>
      <c r="C14" s="149"/>
      <c r="D14" s="177"/>
      <c r="E14" s="53">
        <f>'Anildo Bleichwel'!B5</f>
        <v>250.6</v>
      </c>
      <c r="F14" s="53">
        <v>8</v>
      </c>
      <c r="G14" s="56">
        <v>2004.8</v>
      </c>
      <c r="H14" s="56">
        <v>511.7</v>
      </c>
      <c r="I14" s="56">
        <v>207</v>
      </c>
      <c r="J14" s="61">
        <v>8</v>
      </c>
    </row>
    <row r="15" spans="1:10" ht="25.5" customHeight="1">
      <c r="A15" s="60">
        <v>10</v>
      </c>
      <c r="B15" s="145" t="s">
        <v>89</v>
      </c>
      <c r="C15" s="149"/>
      <c r="D15" s="177"/>
      <c r="E15" s="53">
        <f>Capinzal!B5</f>
        <v>250.6</v>
      </c>
      <c r="F15" s="53">
        <v>8</v>
      </c>
      <c r="G15" s="56">
        <f>Capinzal!E5</f>
        <v>2004.8</v>
      </c>
      <c r="H15" s="56">
        <v>511.7</v>
      </c>
      <c r="I15" s="56">
        <v>253</v>
      </c>
      <c r="J15" s="61">
        <v>9</v>
      </c>
    </row>
    <row r="16" spans="1:10" ht="27" customHeight="1">
      <c r="A16" s="62">
        <v>11</v>
      </c>
      <c r="B16" s="145" t="s">
        <v>90</v>
      </c>
      <c r="C16" s="149"/>
      <c r="D16" s="177"/>
      <c r="E16" s="53">
        <f>Curitibanos!B5</f>
        <v>250.6</v>
      </c>
      <c r="F16" s="53">
        <v>8</v>
      </c>
      <c r="G16" s="56">
        <v>2004.8</v>
      </c>
      <c r="H16" s="56">
        <v>511.7</v>
      </c>
      <c r="I16" s="56">
        <v>136</v>
      </c>
      <c r="J16" s="61">
        <v>11</v>
      </c>
    </row>
    <row r="17" spans="1:10" ht="27" customHeight="1">
      <c r="A17" s="62">
        <v>12</v>
      </c>
      <c r="B17" s="145" t="s">
        <v>91</v>
      </c>
      <c r="C17" s="149"/>
      <c r="D17" s="177"/>
      <c r="E17" s="53">
        <f>Tangará!B5</f>
        <v>250.6</v>
      </c>
      <c r="F17" s="53">
        <v>8</v>
      </c>
      <c r="G17" s="56">
        <v>2004.8</v>
      </c>
      <c r="H17" s="56">
        <v>511.7</v>
      </c>
      <c r="I17" s="56">
        <v>238</v>
      </c>
      <c r="J17" s="61">
        <v>7</v>
      </c>
    </row>
    <row r="18" spans="1:10" ht="25.5" customHeight="1">
      <c r="A18" s="63">
        <v>13</v>
      </c>
      <c r="B18" s="145" t="s">
        <v>92</v>
      </c>
      <c r="C18" s="149"/>
      <c r="D18" s="177"/>
      <c r="E18" s="53">
        <v>250.6</v>
      </c>
      <c r="F18" s="53">
        <v>8</v>
      </c>
      <c r="G18" s="56">
        <f>Xanxerê!E5</f>
        <v>2004.8</v>
      </c>
      <c r="H18" s="56">
        <v>511.7</v>
      </c>
      <c r="I18" s="56">
        <v>239</v>
      </c>
      <c r="J18" s="61">
        <v>6</v>
      </c>
    </row>
    <row r="19" spans="1:10" ht="26.25" customHeight="1">
      <c r="A19" s="63">
        <v>14</v>
      </c>
      <c r="B19" s="144" t="s">
        <v>93</v>
      </c>
      <c r="C19" s="144"/>
      <c r="D19" s="144"/>
      <c r="E19" s="53">
        <f>Chapecó!B5</f>
        <v>274.6</v>
      </c>
      <c r="F19" s="53">
        <v>8</v>
      </c>
      <c r="G19" s="56">
        <f>Chapecó!E5</f>
        <v>2196.8</v>
      </c>
      <c r="H19" s="56">
        <v>511.7</v>
      </c>
      <c r="I19" s="56">
        <v>314</v>
      </c>
      <c r="J19" s="61">
        <v>18</v>
      </c>
    </row>
    <row r="20" spans="1:10" ht="18.75" customHeight="1" thickBot="1">
      <c r="A20" s="146" t="s">
        <v>95</v>
      </c>
      <c r="B20" s="147"/>
      <c r="C20" s="147"/>
      <c r="D20" s="147"/>
      <c r="E20" s="64">
        <f>SUM(E6:E19)</f>
        <v>5395.800000000001</v>
      </c>
      <c r="F20" s="64"/>
      <c r="G20" s="64">
        <f>SUM(G6:G19)</f>
        <v>43715.60000000001</v>
      </c>
      <c r="H20" s="64">
        <f>SUM(H6:H19)</f>
        <v>10139.500000000002</v>
      </c>
      <c r="I20" s="64">
        <f>SUM(I6:I19)</f>
        <v>5437</v>
      </c>
      <c r="J20" s="91">
        <f>SUM(J6:J19)</f>
        <v>304</v>
      </c>
    </row>
  </sheetData>
  <sheetProtection/>
  <mergeCells count="17">
    <mergeCell ref="B1:J1"/>
    <mergeCell ref="B7:D7"/>
    <mergeCell ref="B8:D8"/>
    <mergeCell ref="B16:D16"/>
    <mergeCell ref="A20:D20"/>
    <mergeCell ref="B17:D17"/>
    <mergeCell ref="B18:D18"/>
    <mergeCell ref="B19:D19"/>
    <mergeCell ref="B15:D15"/>
    <mergeCell ref="B14:D14"/>
    <mergeCell ref="B13:D13"/>
    <mergeCell ref="B5:D5"/>
    <mergeCell ref="B6:D6"/>
    <mergeCell ref="B9:D9"/>
    <mergeCell ref="B10:D10"/>
    <mergeCell ref="B11:D11"/>
    <mergeCell ref="B12:D12"/>
  </mergeCells>
  <printOptions/>
  <pageMargins left="1.968503937007874" right="0.3937007874015748" top="0.5905511811023623" bottom="0.5118110236220472" header="0.5118110236220472" footer="0.5118110236220472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M60"/>
  <sheetViews>
    <sheetView tabSelected="1" zoomScaleSheetLayoutView="100" workbookViewId="0" topLeftCell="A1">
      <selection activeCell="B52" sqref="B52:F52"/>
    </sheetView>
  </sheetViews>
  <sheetFormatPr defaultColWidth="9.140625" defaultRowHeight="12.75"/>
  <cols>
    <col min="1" max="1" width="8.140625" style="1" customWidth="1"/>
    <col min="2" max="2" width="42.7109375" style="1" customWidth="1"/>
    <col min="3" max="3" width="7.7109375" style="1" customWidth="1"/>
    <col min="4" max="4" width="10.7109375" style="1" customWidth="1"/>
    <col min="5" max="5" width="10.00390625" style="1" customWidth="1"/>
    <col min="6" max="6" width="13.421875" style="1" customWidth="1"/>
    <col min="7" max="7" width="14.00390625" style="1" customWidth="1"/>
    <col min="8" max="238" width="9.140625" style="1" customWidth="1"/>
    <col min="239" max="241" width="9.140625" style="2" customWidth="1"/>
  </cols>
  <sheetData>
    <row r="1" ht="4.5" customHeight="1"/>
    <row r="2" spans="1:5" ht="12.75">
      <c r="A2" s="4" t="str">
        <f>'[2]plan-leve'!A12</f>
        <v>PAVIMENTAÇÃO ASFÁLTICA COM CAUQ, DRENAGEM PLUVIAL E OBRAS COMPLEMENTARES</v>
      </c>
      <c r="D2"/>
      <c r="E2"/>
    </row>
    <row r="3" spans="1:6" ht="12.75">
      <c r="A3" s="17" t="s">
        <v>131</v>
      </c>
      <c r="D3"/>
      <c r="E3"/>
      <c r="F3" s="3"/>
    </row>
    <row r="4" spans="1:6" ht="12.75">
      <c r="A4" s="18"/>
      <c r="D4"/>
      <c r="E4"/>
      <c r="F4" s="3"/>
    </row>
    <row r="5" spans="1:6" ht="12.75">
      <c r="A5" s="5" t="s">
        <v>0</v>
      </c>
      <c r="B5" s="6">
        <f>'Santo A. Imperatriz'!B5+'Rio do Sul'!B5+'H. d Oeste'!B5+'Cel. Farrapo'!B5+'Gerônimo Deb.'!B5+Lages!B5+Concórdia!B5+Piratuba!B5+'Anildo Bleichwel'!B5+Capinzal!B5+Curitibanos!B5+Tangará!B5+Xanxerê!B5+Chapecó!B5</f>
        <v>5395.800000000001</v>
      </c>
      <c r="D5" s="7" t="s">
        <v>1</v>
      </c>
      <c r="E5" s="8">
        <f>'Santo A. Imperatriz'!E5+'Rio do Sul'!E5+'H. d Oeste'!E5+'Cel. Farrapo'!E5+'Gerônimo Deb.'!E5+Lages!E5+Concórdia!E5+Piratuba!E5+'Anildo Bleichwel'!E5+Capinzal!E5+Curitibanos!E5+Tangará!E5+Xanxerê!E5+Chapecó!E5</f>
        <v>43715.60000000001</v>
      </c>
      <c r="F5" s="3"/>
    </row>
    <row r="6" ht="3.75" customHeight="1"/>
    <row r="7" spans="1:6" ht="18" customHeight="1">
      <c r="A7" s="182" t="s">
        <v>40</v>
      </c>
      <c r="B7" s="183"/>
      <c r="C7" s="183"/>
      <c r="D7" s="183"/>
      <c r="E7" s="183"/>
      <c r="F7" s="183"/>
    </row>
    <row r="8" ht="4.5" customHeight="1"/>
    <row r="9" spans="1:6" ht="12.75" customHeight="1">
      <c r="A9" s="184" t="s">
        <v>3</v>
      </c>
      <c r="B9" s="186" t="s">
        <v>4</v>
      </c>
      <c r="C9" s="186" t="s">
        <v>5</v>
      </c>
      <c r="D9" s="186" t="s">
        <v>6</v>
      </c>
      <c r="E9" s="190" t="s">
        <v>7</v>
      </c>
      <c r="F9" s="188" t="s">
        <v>8</v>
      </c>
    </row>
    <row r="10" spans="1:6" ht="12.75">
      <c r="A10" s="185"/>
      <c r="B10" s="187"/>
      <c r="C10" s="187"/>
      <c r="D10" s="187"/>
      <c r="E10" s="191"/>
      <c r="F10" s="189"/>
    </row>
    <row r="11" spans="1:6" ht="12.75" customHeight="1">
      <c r="A11" s="117" t="s">
        <v>9</v>
      </c>
      <c r="B11" s="118" t="s">
        <v>171</v>
      </c>
      <c r="C11" s="119"/>
      <c r="D11" s="119"/>
      <c r="E11" s="119"/>
      <c r="F11" s="119"/>
    </row>
    <row r="12" spans="1:6" ht="12" customHeight="1">
      <c r="A12" s="120" t="s">
        <v>11</v>
      </c>
      <c r="B12" s="119" t="s">
        <v>166</v>
      </c>
      <c r="C12" s="119" t="s">
        <v>108</v>
      </c>
      <c r="D12" s="122">
        <v>2</v>
      </c>
      <c r="E12" s="121">
        <v>280</v>
      </c>
      <c r="F12" s="121">
        <f>E12*D12</f>
        <v>560</v>
      </c>
    </row>
    <row r="13" spans="1:6" ht="10.5" customHeight="1">
      <c r="A13" s="192" t="s">
        <v>19</v>
      </c>
      <c r="B13" s="192"/>
      <c r="C13" s="192"/>
      <c r="D13" s="192"/>
      <c r="E13" s="119"/>
      <c r="F13" s="123">
        <f>SUM(F12)</f>
        <v>560</v>
      </c>
    </row>
    <row r="14" ht="6.75" customHeight="1"/>
    <row r="15" spans="1:247" s="9" customFormat="1" ht="12.75">
      <c r="A15" s="50" t="s">
        <v>20</v>
      </c>
      <c r="B15" s="33" t="s">
        <v>10</v>
      </c>
      <c r="C15" s="33"/>
      <c r="D15" s="33"/>
      <c r="E15" s="33"/>
      <c r="F15" s="33"/>
      <c r="IE15" s="2"/>
      <c r="IF15" s="2"/>
      <c r="IG15" s="2"/>
      <c r="IH15"/>
      <c r="II15"/>
      <c r="IJ15"/>
      <c r="IK15"/>
      <c r="IL15"/>
      <c r="IM15"/>
    </row>
    <row r="16" spans="1:247" s="9" customFormat="1" ht="22.5">
      <c r="A16" s="51" t="s">
        <v>22</v>
      </c>
      <c r="B16" s="44" t="s">
        <v>12</v>
      </c>
      <c r="C16" s="36" t="s">
        <v>13</v>
      </c>
      <c r="D16" s="37">
        <f>E5</f>
        <v>43715.60000000001</v>
      </c>
      <c r="E16" s="37">
        <v>2</v>
      </c>
      <c r="F16" s="38">
        <f aca="true" t="shared" si="0" ref="F16:F21">E16*D16</f>
        <v>87431.20000000003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25</v>
      </c>
      <c r="B17" s="44" t="s">
        <v>15</v>
      </c>
      <c r="C17" s="36" t="s">
        <v>24</v>
      </c>
      <c r="D17" s="37">
        <f>E5*0.15</f>
        <v>6557.340000000002</v>
      </c>
      <c r="E17" s="37">
        <v>105</v>
      </c>
      <c r="F17" s="38">
        <f t="shared" si="0"/>
        <v>688520.7000000002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51" t="s">
        <v>28</v>
      </c>
      <c r="B18" s="44" t="s">
        <v>99</v>
      </c>
      <c r="C18" s="36" t="s">
        <v>24</v>
      </c>
      <c r="D18" s="37">
        <f>E5*0.1</f>
        <v>4371.560000000001</v>
      </c>
      <c r="E18" s="37">
        <v>120</v>
      </c>
      <c r="F18" s="38">
        <f t="shared" si="0"/>
        <v>524587.2000000002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51" t="s">
        <v>30</v>
      </c>
      <c r="B19" s="44" t="s">
        <v>101</v>
      </c>
      <c r="C19" s="36" t="s">
        <v>13</v>
      </c>
      <c r="D19" s="37">
        <f>E5</f>
        <v>43715.60000000001</v>
      </c>
      <c r="E19" s="37">
        <v>3.7</v>
      </c>
      <c r="F19" s="38">
        <f t="shared" si="0"/>
        <v>161747.72000000006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12.75">
      <c r="A20" s="51" t="s">
        <v>42</v>
      </c>
      <c r="B20" s="44" t="s">
        <v>120</v>
      </c>
      <c r="C20" s="36" t="s">
        <v>13</v>
      </c>
      <c r="D20" s="37">
        <f>$E$5</f>
        <v>43715.60000000001</v>
      </c>
      <c r="E20" s="37">
        <v>1.3</v>
      </c>
      <c r="F20" s="38">
        <f t="shared" si="0"/>
        <v>56830.28000000002</v>
      </c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4" t="s">
        <v>43</v>
      </c>
      <c r="B21" s="44" t="s">
        <v>179</v>
      </c>
      <c r="C21" s="36" t="s">
        <v>46</v>
      </c>
      <c r="D21" s="37">
        <f>E5*0.1</f>
        <v>4371.560000000001</v>
      </c>
      <c r="E21" s="37">
        <v>216</v>
      </c>
      <c r="F21" s="38">
        <f t="shared" si="0"/>
        <v>944256.9600000003</v>
      </c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45" t="s">
        <v>19</v>
      </c>
      <c r="B22" s="46"/>
      <c r="C22" s="46"/>
      <c r="D22" s="47"/>
      <c r="E22" s="48"/>
      <c r="F22" s="49">
        <f>SUM(F16:F21)</f>
        <v>2463374.060000001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4.5" customHeight="1">
      <c r="A23" s="10"/>
      <c r="B23" s="11"/>
      <c r="C23" s="11"/>
      <c r="D23" s="11"/>
      <c r="E23" s="11"/>
      <c r="F23" s="11"/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2" t="s">
        <v>32</v>
      </c>
      <c r="B24" s="33" t="s">
        <v>21</v>
      </c>
      <c r="C24" s="33"/>
      <c r="D24" s="33"/>
      <c r="E24" s="33"/>
      <c r="F24" s="33"/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34</v>
      </c>
      <c r="B25" s="35" t="s">
        <v>23</v>
      </c>
      <c r="C25" s="36" t="s">
        <v>24</v>
      </c>
      <c r="D25" s="37">
        <f>'Santo A. Imperatriz'!D22+'Rio do Sul'!D22+'H. d Oeste'!D22+'Cel. Farrapo'!D22+'Gerônimo Deb.'!D22+Lages!D22+Concórdia!D22+Piratuba!D22+'Anildo Bleichwel'!D22+Capinzal!D22+Curitibanos!D22+Tangará!D22+Xanxerê!D22+Chapecó!D22</f>
        <v>18696.2</v>
      </c>
      <c r="E25" s="37">
        <v>11</v>
      </c>
      <c r="F25" s="38">
        <f aca="true" t="shared" si="1" ref="F25:F32">E25*D25</f>
        <v>205658.2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36</v>
      </c>
      <c r="B26" s="35" t="s">
        <v>26</v>
      </c>
      <c r="C26" s="36" t="s">
        <v>27</v>
      </c>
      <c r="D26" s="37">
        <f>'Santo A. Imperatriz'!D23+'Rio do Sul'!D23+'H. d Oeste'!D23+'Cel. Farrapo'!D23+'Gerônimo Deb.'!D23+Lages!D23+Concórdia!D23+Piratuba!D23+'Anildo Bleichwel'!D23+Capinzal!D23+Curitibanos!D23+Tangará!D23+Xanxerê!D23+Chapecó!D23</f>
        <v>3809</v>
      </c>
      <c r="E26" s="37">
        <v>60</v>
      </c>
      <c r="F26" s="38">
        <f t="shared" si="1"/>
        <v>228540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>
      <c r="A27" s="34" t="s">
        <v>48</v>
      </c>
      <c r="B27" s="35" t="s">
        <v>41</v>
      </c>
      <c r="C27" s="36" t="s">
        <v>27</v>
      </c>
      <c r="D27" s="37">
        <f>'Santo A. Imperatriz'!D24+'Rio do Sul'!D24+'H. d Oeste'!D24+'Cel. Farrapo'!D24+'Gerônimo Deb.'!D24+Lages!D24+Concórdia!D24+Piratuba!D24+'Anildo Bleichwel'!D24+Capinzal!D24+Curitibanos!D24+Tangará!D24+Xanxerê!D24+Chapecó!D24</f>
        <v>1441</v>
      </c>
      <c r="E27" s="37">
        <v>90</v>
      </c>
      <c r="F27" s="38">
        <f t="shared" si="1"/>
        <v>129690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>
      <c r="A28" s="34" t="s">
        <v>105</v>
      </c>
      <c r="B28" s="35" t="s">
        <v>102</v>
      </c>
      <c r="C28" s="36" t="s">
        <v>27</v>
      </c>
      <c r="D28" s="37">
        <f>'Santo A. Imperatriz'!D25+'Rio do Sul'!D25+'H. d Oeste'!D25+'Cel. Farrapo'!D25+'Gerônimo Deb.'!D25+Lages!D25+Concórdia!D25+Piratuba!D25+'Anildo Bleichwel'!D25+Capinzal!D25+Curitibanos!D25+Tangará!D25+Xanxerê!D25+Chapecó!D25</f>
        <v>187</v>
      </c>
      <c r="E28" s="37">
        <v>210</v>
      </c>
      <c r="F28" s="38">
        <f t="shared" si="1"/>
        <v>39270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12.75">
      <c r="A29" s="34" t="s">
        <v>107</v>
      </c>
      <c r="B29" s="35" t="s">
        <v>103</v>
      </c>
      <c r="C29" s="36" t="s">
        <v>27</v>
      </c>
      <c r="D29" s="37">
        <f>'Santo A. Imperatriz'!D26+'Rio do Sul'!D26+'H. d Oeste'!D26+'Cel. Farrapo'!D26+'Gerônimo Deb.'!D26+Lages!D26+Concórdia!D26+Piratuba!D26+'Anildo Bleichwel'!D26+Capinzal!D26+Curitibanos!D26+Tangará!D26+Xanxerê!D26+Chapecó!D26</f>
        <v>0</v>
      </c>
      <c r="E29" s="37">
        <v>340</v>
      </c>
      <c r="F29" s="38">
        <f t="shared" si="1"/>
        <v>0</v>
      </c>
      <c r="IE29" s="2"/>
      <c r="IF29" s="2"/>
      <c r="IG29" s="2"/>
      <c r="IH29"/>
      <c r="II29"/>
      <c r="IJ29"/>
      <c r="IK29"/>
      <c r="IL29"/>
      <c r="IM29"/>
    </row>
    <row r="30" spans="1:247" s="9" customFormat="1" ht="12.75">
      <c r="A30" s="34" t="s">
        <v>122</v>
      </c>
      <c r="B30" s="35" t="s">
        <v>29</v>
      </c>
      <c r="C30" s="36" t="s">
        <v>108</v>
      </c>
      <c r="D30" s="37">
        <f>'Santo A. Imperatriz'!D27+'Rio do Sul'!D27+'H. d Oeste'!D27+'Cel. Farrapo'!D27+'Gerônimo Deb.'!D27+Lages!D27+Concórdia!D27+Piratuba!D27+'Anildo Bleichwel'!D27+Capinzal!D27+Curitibanos!D27+Tangará!D27+Xanxerê!D27+Chapecó!D27</f>
        <v>304</v>
      </c>
      <c r="E30" s="37">
        <v>878.3</v>
      </c>
      <c r="F30" s="38">
        <f t="shared" si="1"/>
        <v>267003.2</v>
      </c>
      <c r="IE30" s="2"/>
      <c r="IF30" s="2"/>
      <c r="IG30" s="2"/>
      <c r="IH30"/>
      <c r="II30"/>
      <c r="IJ30"/>
      <c r="IK30"/>
      <c r="IL30"/>
      <c r="IM30"/>
    </row>
    <row r="31" spans="1:247" s="9" customFormat="1" ht="12.75">
      <c r="A31" s="34" t="s">
        <v>172</v>
      </c>
      <c r="B31" s="35" t="s">
        <v>31</v>
      </c>
      <c r="C31" s="36" t="s">
        <v>24</v>
      </c>
      <c r="D31" s="37">
        <f>'Santo A. Imperatriz'!D28+'Rio do Sul'!D28+'H. d Oeste'!D28+'Cel. Farrapo'!D28+'Gerônimo Deb.'!D28+Lages!D28+Concórdia!D28+Piratuba!D28+'Anildo Bleichwel'!D28+Capinzal!D28+Curitibanos!D28+Tangará!D28+Xanxerê!D28+Chapecó!D28</f>
        <v>13087.339999999997</v>
      </c>
      <c r="E31" s="37">
        <v>14</v>
      </c>
      <c r="F31" s="38">
        <f t="shared" si="1"/>
        <v>183222.75999999995</v>
      </c>
      <c r="IE31" s="2"/>
      <c r="IF31" s="2"/>
      <c r="IG31" s="2"/>
      <c r="IH31"/>
      <c r="II31"/>
      <c r="IJ31"/>
      <c r="IK31"/>
      <c r="IL31"/>
      <c r="IM31"/>
    </row>
    <row r="32" spans="1:247" s="9" customFormat="1" ht="22.5">
      <c r="A32" s="34" t="s">
        <v>177</v>
      </c>
      <c r="B32" s="44" t="s">
        <v>35</v>
      </c>
      <c r="C32" s="36" t="s">
        <v>27</v>
      </c>
      <c r="D32" s="37">
        <f>'Santo A. Imperatriz'!D29+'Rio do Sul'!D29+'H. d Oeste'!D29+'Cel. Farrapo'!D29+'Gerônimo Deb.'!D29+Lages!D29+Concórdia!D29+Piratuba!D29+'Anildo Bleichwel'!D29+Capinzal!D29+Curitibanos!D29+Tangará!D29+Xanxerê!D29+Chapecó!D29</f>
        <v>10139.500000000002</v>
      </c>
      <c r="E32" s="37">
        <v>25</v>
      </c>
      <c r="F32" s="38">
        <f t="shared" si="1"/>
        <v>253487.50000000006</v>
      </c>
      <c r="IE32" s="2"/>
      <c r="IF32" s="2"/>
      <c r="IG32" s="2"/>
      <c r="IH32"/>
      <c r="II32"/>
      <c r="IJ32"/>
      <c r="IK32"/>
      <c r="IL32"/>
      <c r="IM32"/>
    </row>
    <row r="33" spans="1:247" s="9" customFormat="1" ht="12.75">
      <c r="A33" s="39" t="s">
        <v>19</v>
      </c>
      <c r="B33" s="40"/>
      <c r="C33" s="40"/>
      <c r="D33" s="40"/>
      <c r="E33" s="41"/>
      <c r="F33" s="42">
        <f>SUM(F25:F32)</f>
        <v>1306871.66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4.5" customHeight="1">
      <c r="A34" s="43"/>
      <c r="IE34" s="2"/>
      <c r="IF34" s="2"/>
      <c r="IG34" s="2"/>
      <c r="IH34"/>
      <c r="II34"/>
      <c r="IJ34"/>
      <c r="IK34"/>
      <c r="IL34"/>
      <c r="IM34"/>
    </row>
    <row r="35" spans="1:247" s="9" customFormat="1" ht="12.75">
      <c r="A35" s="32" t="s">
        <v>129</v>
      </c>
      <c r="B35" s="33" t="s">
        <v>33</v>
      </c>
      <c r="C35" s="33"/>
      <c r="D35" s="33"/>
      <c r="E35" s="33"/>
      <c r="F35" s="33"/>
      <c r="IE35" s="2"/>
      <c r="IF35" s="2"/>
      <c r="IG35" s="2"/>
      <c r="IH35"/>
      <c r="II35"/>
      <c r="IJ35"/>
      <c r="IK35"/>
      <c r="IL35"/>
      <c r="IM35"/>
    </row>
    <row r="36" spans="1:247" s="12" customFormat="1" ht="27" customHeight="1">
      <c r="A36" s="34" t="s">
        <v>130</v>
      </c>
      <c r="B36" s="44" t="s">
        <v>121</v>
      </c>
      <c r="C36" s="36" t="s">
        <v>13</v>
      </c>
      <c r="D36" s="37">
        <f>'Santo A. Imperatriz'!D33+'Rio do Sul'!D33+'H. d Oeste'!D33+'Cel. Farrapo'!D33+'Gerônimo Deb.'!D33+Lages!D33+Concórdia!D33+Piratuba!D33+'Anildo Bleichwel'!D33+Capinzal!D33+Curitibanos!D33+Tangará!D33+Xanxerê!D33+Chapecó!D33</f>
        <v>18404.309999999998</v>
      </c>
      <c r="E36" s="37">
        <v>44.75</v>
      </c>
      <c r="F36" s="38">
        <f>E36*D36</f>
        <v>823592.8724999999</v>
      </c>
      <c r="IE36" s="2"/>
      <c r="IF36" s="2"/>
      <c r="IG36" s="2"/>
      <c r="IH36"/>
      <c r="II36"/>
      <c r="IJ36"/>
      <c r="IK36"/>
      <c r="IL36"/>
      <c r="IM36"/>
    </row>
    <row r="37" spans="1:247" s="12" customFormat="1" ht="12.75">
      <c r="A37" s="34" t="s">
        <v>173</v>
      </c>
      <c r="B37" s="44" t="s">
        <v>44</v>
      </c>
      <c r="C37" s="36" t="s">
        <v>108</v>
      </c>
      <c r="D37" s="37">
        <f>'Santo A. Imperatriz'!D34+'Rio do Sul'!D34+'H. d Oeste'!D34+'Cel. Farrapo'!D34+'Gerônimo Deb.'!D34+Lages!D34+Concórdia!D34+Piratuba!D34+'Anildo Bleichwel'!D34+Capinzal!D34+Curitibanos!D34+Tangará!D34+Xanxerê!D34+Chapecó!D34</f>
        <v>69</v>
      </c>
      <c r="E37" s="37">
        <v>300</v>
      </c>
      <c r="F37" s="38">
        <f>E37*D37</f>
        <v>20700</v>
      </c>
      <c r="IE37" s="2"/>
      <c r="IF37" s="2"/>
      <c r="IG37" s="2"/>
      <c r="IH37"/>
      <c r="II37"/>
      <c r="IJ37"/>
      <c r="IK37"/>
      <c r="IL37"/>
      <c r="IM37"/>
    </row>
    <row r="38" spans="1:247" s="12" customFormat="1" ht="22.5">
      <c r="A38" s="34" t="s">
        <v>174</v>
      </c>
      <c r="B38" s="44" t="s">
        <v>123</v>
      </c>
      <c r="C38" s="36" t="s">
        <v>108</v>
      </c>
      <c r="D38" s="37">
        <f>'Santo A. Imperatriz'!D35+'Rio do Sul'!D35+'H. d Oeste'!D35+'Cel. Farrapo'!D35+'Gerônimo Deb.'!D35+Lages!D35+Concórdia!D35+Piratuba!D35+'Anildo Bleichwel'!D35+Capinzal!D35+Curitibanos!D35+Tangará!D35+Xanxerê!D35+Chapecó!D35</f>
        <v>135</v>
      </c>
      <c r="E38" s="37">
        <v>200</v>
      </c>
      <c r="F38" s="38">
        <f>E38*D38</f>
        <v>27000</v>
      </c>
      <c r="IE38" s="2"/>
      <c r="IF38" s="2"/>
      <c r="IG38" s="2"/>
      <c r="IH38"/>
      <c r="II38"/>
      <c r="IJ38"/>
      <c r="IK38"/>
      <c r="IL38"/>
      <c r="IM38"/>
    </row>
    <row r="39" spans="1:247" s="12" customFormat="1" ht="12.75">
      <c r="A39" s="34" t="s">
        <v>175</v>
      </c>
      <c r="B39" s="44" t="s">
        <v>106</v>
      </c>
      <c r="C39" s="36" t="s">
        <v>13</v>
      </c>
      <c r="D39" s="37">
        <f>'Santo A. Imperatriz'!D36+'Rio do Sul'!D36+'H. d Oeste'!D36+'Cel. Farrapo'!D36+'Gerônimo Deb.'!D36+Lages!D36+Concórdia!D36+Piratuba!D36+'Anildo Bleichwel'!D36+Capinzal!D36+Curitibanos!D36+Tangará!D36+Xanxerê!D36+Chapecó!D36</f>
        <v>23</v>
      </c>
      <c r="E39" s="37">
        <v>17</v>
      </c>
      <c r="F39" s="38">
        <f>E39*D39</f>
        <v>391</v>
      </c>
      <c r="IE39" s="2"/>
      <c r="IF39" s="2"/>
      <c r="IG39" s="2"/>
      <c r="IH39"/>
      <c r="II39"/>
      <c r="IJ39"/>
      <c r="IK39"/>
      <c r="IL39"/>
      <c r="IM39"/>
    </row>
    <row r="40" spans="1:247" s="9" customFormat="1" ht="12.75">
      <c r="A40" s="34" t="s">
        <v>176</v>
      </c>
      <c r="B40" s="44" t="s">
        <v>37</v>
      </c>
      <c r="C40" s="36" t="s">
        <v>13</v>
      </c>
      <c r="D40" s="37">
        <f>'Santo A. Imperatriz'!D37+'Rio do Sul'!D37+'H. d Oeste'!D37+'Cel. Farrapo'!D37+'Gerônimo Deb.'!D37+Lages!D37+Concórdia!D37+Piratuba!D37+'Anildo Bleichwel'!D37+Capinzal!D37+Curitibanos!D37+Tangará!D37+Xanxerê!D37+Chapecó!D37</f>
        <v>2158.32</v>
      </c>
      <c r="E40" s="37">
        <v>17</v>
      </c>
      <c r="F40" s="38">
        <f>E40*D40</f>
        <v>36691.44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12.75" customHeight="1">
      <c r="A41" s="39" t="s">
        <v>19</v>
      </c>
      <c r="B41" s="40"/>
      <c r="C41" s="40"/>
      <c r="D41" s="40"/>
      <c r="E41" s="41"/>
      <c r="F41" s="42">
        <f>SUM(F36:F40)</f>
        <v>908375.3125</v>
      </c>
      <c r="IE41" s="2"/>
      <c r="IF41" s="2"/>
      <c r="IG41" s="2"/>
      <c r="IH41"/>
      <c r="II41"/>
      <c r="IJ41"/>
      <c r="IK41"/>
      <c r="IL41"/>
      <c r="IM41"/>
    </row>
    <row r="42" spans="1:247" s="9" customFormat="1" ht="3.75" customHeight="1">
      <c r="A42" s="31"/>
      <c r="B42" s="31"/>
      <c r="C42" s="31"/>
      <c r="D42" s="31"/>
      <c r="E42" s="31"/>
      <c r="IE42" s="2"/>
      <c r="IF42" s="2"/>
      <c r="IG42" s="2"/>
      <c r="IH42"/>
      <c r="II42"/>
      <c r="IJ42"/>
      <c r="IK42"/>
      <c r="IL42"/>
      <c r="IM42"/>
    </row>
    <row r="43" spans="1:247" s="9" customFormat="1" ht="12.75" customHeight="1">
      <c r="A43" s="180" t="s">
        <v>124</v>
      </c>
      <c r="B43" s="181"/>
      <c r="C43" s="181"/>
      <c r="D43" s="181"/>
      <c r="E43" s="13"/>
      <c r="F43" s="42">
        <f>F41+F33+F22+F13</f>
        <v>4679181.032500001</v>
      </c>
      <c r="IE43" s="2"/>
      <c r="IF43" s="2"/>
      <c r="IG43" s="2"/>
      <c r="IH43"/>
      <c r="II43"/>
      <c r="IJ43"/>
      <c r="IK43"/>
      <c r="IL43"/>
      <c r="IM43"/>
    </row>
    <row r="44" spans="1:247" s="9" customFormat="1" ht="6" customHeight="1">
      <c r="A44" s="11"/>
      <c r="B44" s="11"/>
      <c r="C44" s="11"/>
      <c r="D44" s="11"/>
      <c r="E44" s="11"/>
      <c r="IE44" s="2"/>
      <c r="IF44" s="2"/>
      <c r="IG44" s="2"/>
      <c r="IH44"/>
      <c r="II44"/>
      <c r="IJ44"/>
      <c r="IK44"/>
      <c r="IL44"/>
      <c r="IM44"/>
    </row>
    <row r="45" spans="1:247" s="9" customFormat="1" ht="12.75">
      <c r="A45" s="111" t="s">
        <v>132</v>
      </c>
      <c r="B45" s="194" t="s">
        <v>146</v>
      </c>
      <c r="C45" s="195"/>
      <c r="D45" s="195"/>
      <c r="E45" s="195"/>
      <c r="F45" s="196"/>
      <c r="IE45" s="2"/>
      <c r="IF45" s="2"/>
      <c r="IG45" s="2"/>
      <c r="IH45"/>
      <c r="II45"/>
      <c r="IJ45"/>
      <c r="IK45"/>
      <c r="IL45"/>
      <c r="IM45"/>
    </row>
    <row r="46" spans="1:247" s="9" customFormat="1" ht="14.25" customHeight="1">
      <c r="A46" s="111" t="s">
        <v>133</v>
      </c>
      <c r="B46" s="193" t="s">
        <v>147</v>
      </c>
      <c r="C46" s="193"/>
      <c r="D46" s="193"/>
      <c r="E46" s="193"/>
      <c r="F46" s="193"/>
      <c r="IE46" s="2"/>
      <c r="IF46" s="2"/>
      <c r="IG46" s="2"/>
      <c r="IH46"/>
      <c r="II46"/>
      <c r="IJ46"/>
      <c r="IK46"/>
      <c r="IL46"/>
      <c r="IM46"/>
    </row>
    <row r="47" spans="1:247" s="9" customFormat="1" ht="12" customHeight="1">
      <c r="A47" s="111" t="s">
        <v>134</v>
      </c>
      <c r="B47" s="193" t="s">
        <v>148</v>
      </c>
      <c r="C47" s="193"/>
      <c r="D47" s="193"/>
      <c r="E47" s="193"/>
      <c r="F47" s="193"/>
      <c r="IE47" s="2"/>
      <c r="IF47" s="2"/>
      <c r="IG47" s="2"/>
      <c r="IH47"/>
      <c r="II47"/>
      <c r="IJ47"/>
      <c r="IK47"/>
      <c r="IL47"/>
      <c r="IM47"/>
    </row>
    <row r="48" spans="1:247" s="9" customFormat="1" ht="12.75" customHeight="1">
      <c r="A48" s="111" t="s">
        <v>135</v>
      </c>
      <c r="B48" s="193" t="s">
        <v>149</v>
      </c>
      <c r="C48" s="193"/>
      <c r="D48" s="193"/>
      <c r="E48" s="193"/>
      <c r="F48" s="193"/>
      <c r="IE48" s="2"/>
      <c r="IF48" s="2"/>
      <c r="IG48" s="2"/>
      <c r="IH48"/>
      <c r="II48"/>
      <c r="IJ48"/>
      <c r="IK48"/>
      <c r="IL48"/>
      <c r="IM48"/>
    </row>
    <row r="49" spans="1:247" s="9" customFormat="1" ht="12.75">
      <c r="A49" s="111" t="s">
        <v>136</v>
      </c>
      <c r="B49" s="193" t="s">
        <v>150</v>
      </c>
      <c r="C49" s="193"/>
      <c r="D49" s="193"/>
      <c r="E49" s="193"/>
      <c r="F49" s="193"/>
      <c r="IE49" s="2"/>
      <c r="IF49" s="2"/>
      <c r="IG49" s="2"/>
      <c r="IH49"/>
      <c r="II49"/>
      <c r="IJ49"/>
      <c r="IK49"/>
      <c r="IL49"/>
      <c r="IM49"/>
    </row>
    <row r="50" spans="1:247" s="9" customFormat="1" ht="12.75">
      <c r="A50" s="111" t="s">
        <v>137</v>
      </c>
      <c r="B50" s="193" t="s">
        <v>151</v>
      </c>
      <c r="C50" s="193"/>
      <c r="D50" s="193"/>
      <c r="E50" s="193"/>
      <c r="F50" s="193"/>
      <c r="IE50" s="2"/>
      <c r="IF50" s="2"/>
      <c r="IG50" s="2"/>
      <c r="IH50"/>
      <c r="II50"/>
      <c r="IJ50"/>
      <c r="IK50"/>
      <c r="IL50"/>
      <c r="IM50"/>
    </row>
    <row r="51" spans="1:247" s="9" customFormat="1" ht="12.75">
      <c r="A51" s="111" t="s">
        <v>138</v>
      </c>
      <c r="B51" s="193" t="s">
        <v>152</v>
      </c>
      <c r="C51" s="193"/>
      <c r="D51" s="193"/>
      <c r="E51" s="193"/>
      <c r="F51" s="193"/>
      <c r="IE51" s="2"/>
      <c r="IF51" s="2"/>
      <c r="IG51" s="2"/>
      <c r="IH51"/>
      <c r="II51"/>
      <c r="IJ51"/>
      <c r="IK51"/>
      <c r="IL51"/>
      <c r="IM51"/>
    </row>
    <row r="52" spans="1:247" s="9" customFormat="1" ht="12.75">
      <c r="A52" s="111" t="s">
        <v>139</v>
      </c>
      <c r="B52" s="193" t="s">
        <v>153</v>
      </c>
      <c r="C52" s="193"/>
      <c r="D52" s="193"/>
      <c r="E52" s="193"/>
      <c r="F52" s="193"/>
      <c r="IE52" s="2"/>
      <c r="IF52" s="2"/>
      <c r="IG52" s="2"/>
      <c r="IH52"/>
      <c r="II52"/>
      <c r="IJ52"/>
      <c r="IK52"/>
      <c r="IL52"/>
      <c r="IM52"/>
    </row>
    <row r="53" spans="1:247" s="9" customFormat="1" ht="12.75">
      <c r="A53" s="111" t="s">
        <v>140</v>
      </c>
      <c r="B53" s="193" t="s">
        <v>154</v>
      </c>
      <c r="C53" s="193"/>
      <c r="D53" s="193"/>
      <c r="E53" s="193"/>
      <c r="F53" s="193"/>
      <c r="IE53" s="2"/>
      <c r="IF53" s="2"/>
      <c r="IG53" s="2"/>
      <c r="IH53"/>
      <c r="II53"/>
      <c r="IJ53"/>
      <c r="IK53"/>
      <c r="IL53"/>
      <c r="IM53"/>
    </row>
    <row r="54" spans="1:247" s="9" customFormat="1" ht="12.75">
      <c r="A54" s="111" t="s">
        <v>141</v>
      </c>
      <c r="B54" s="193" t="s">
        <v>155</v>
      </c>
      <c r="C54" s="193"/>
      <c r="D54" s="193"/>
      <c r="E54" s="193"/>
      <c r="F54" s="193"/>
      <c r="IE54" s="2"/>
      <c r="IF54" s="2"/>
      <c r="IG54" s="2"/>
      <c r="IH54"/>
      <c r="II54"/>
      <c r="IJ54"/>
      <c r="IK54"/>
      <c r="IL54"/>
      <c r="IM54"/>
    </row>
    <row r="55" spans="1:247" s="9" customFormat="1" ht="12.75">
      <c r="A55" s="111" t="s">
        <v>142</v>
      </c>
      <c r="B55" s="193" t="s">
        <v>156</v>
      </c>
      <c r="C55" s="193"/>
      <c r="D55" s="193"/>
      <c r="E55" s="193"/>
      <c r="F55" s="193"/>
      <c r="IE55" s="2"/>
      <c r="IF55" s="2"/>
      <c r="IG55" s="2"/>
      <c r="IH55"/>
      <c r="II55"/>
      <c r="IJ55"/>
      <c r="IK55"/>
      <c r="IL55"/>
      <c r="IM55"/>
    </row>
    <row r="56" spans="1:247" s="9" customFormat="1" ht="12.75">
      <c r="A56" s="111" t="s">
        <v>143</v>
      </c>
      <c r="B56" s="193" t="s">
        <v>157</v>
      </c>
      <c r="C56" s="193"/>
      <c r="D56" s="193"/>
      <c r="E56" s="193"/>
      <c r="F56" s="193"/>
      <c r="IE56" s="2"/>
      <c r="IF56" s="2"/>
      <c r="IG56" s="2"/>
      <c r="IH56"/>
      <c r="II56"/>
      <c r="IJ56"/>
      <c r="IK56"/>
      <c r="IL56"/>
      <c r="IM56"/>
    </row>
    <row r="57" spans="1:247" s="9" customFormat="1" ht="12.75">
      <c r="A57" s="111" t="s">
        <v>144</v>
      </c>
      <c r="B57" s="193" t="s">
        <v>158</v>
      </c>
      <c r="C57" s="193"/>
      <c r="D57" s="193"/>
      <c r="E57" s="193"/>
      <c r="F57" s="193"/>
      <c r="IE57" s="2"/>
      <c r="IF57" s="2"/>
      <c r="IG57" s="2"/>
      <c r="IH57"/>
      <c r="II57"/>
      <c r="IJ57"/>
      <c r="IK57"/>
      <c r="IL57"/>
      <c r="IM57"/>
    </row>
    <row r="58" spans="1:247" s="9" customFormat="1" ht="15" customHeight="1">
      <c r="A58" s="111" t="s">
        <v>145</v>
      </c>
      <c r="B58" s="193" t="s">
        <v>159</v>
      </c>
      <c r="C58" s="193"/>
      <c r="D58" s="193"/>
      <c r="E58" s="193"/>
      <c r="F58" s="193"/>
      <c r="IE58" s="2"/>
      <c r="IF58" s="2"/>
      <c r="IG58" s="2"/>
      <c r="IH58"/>
      <c r="II58"/>
      <c r="IJ58"/>
      <c r="IK58"/>
      <c r="IL58"/>
      <c r="IM58"/>
    </row>
    <row r="59" spans="1:6" ht="4.5" customHeight="1">
      <c r="A59" s="15"/>
      <c r="B59" s="16"/>
      <c r="C59" s="16"/>
      <c r="D59" s="16"/>
      <c r="E59" s="16"/>
      <c r="F59" s="16"/>
    </row>
    <row r="60" ht="12.75">
      <c r="A60" s="21"/>
    </row>
  </sheetData>
  <sheetProtection/>
  <mergeCells count="23">
    <mergeCell ref="B58:F58"/>
    <mergeCell ref="B51:F51"/>
    <mergeCell ref="B52:F52"/>
    <mergeCell ref="B53:F53"/>
    <mergeCell ref="B54:F54"/>
    <mergeCell ref="B55:F55"/>
    <mergeCell ref="B56:F56"/>
    <mergeCell ref="B49:F49"/>
    <mergeCell ref="B50:F50"/>
    <mergeCell ref="B57:F57"/>
    <mergeCell ref="B45:F45"/>
    <mergeCell ref="B46:F46"/>
    <mergeCell ref="B47:F47"/>
    <mergeCell ref="B48:F48"/>
    <mergeCell ref="A43:D43"/>
    <mergeCell ref="A7:F7"/>
    <mergeCell ref="A9:A10"/>
    <mergeCell ref="B9:B10"/>
    <mergeCell ref="C9:C10"/>
    <mergeCell ref="D9:D10"/>
    <mergeCell ref="F9:F10"/>
    <mergeCell ref="E9:E10"/>
    <mergeCell ref="A13:D13"/>
  </mergeCells>
  <printOptions/>
  <pageMargins left="0.7874015748031497" right="0.3937007874015748" top="1.8897637795275593" bottom="0.3937007874015748" header="0.5118110236220472" footer="0.5118110236220472"/>
  <pageSetup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M54"/>
  <sheetViews>
    <sheetView view="pageBreakPreview" zoomScaleNormal="90" zoomScaleSheetLayoutView="100" zoomScalePageLayoutView="0" workbookViewId="0" topLeftCell="A1">
      <selection activeCell="C36" sqref="C36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58</v>
      </c>
      <c r="D2"/>
      <c r="E2"/>
      <c r="F2" s="3"/>
    </row>
    <row r="3" spans="1:6" ht="12.75">
      <c r="A3" s="18" t="s">
        <v>59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863.4</v>
      </c>
      <c r="D5" s="7" t="s">
        <v>1</v>
      </c>
      <c r="E5" s="8">
        <f>B5*8</f>
        <v>6907.2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4" t="s">
        <v>3</v>
      </c>
      <c r="B9" s="186" t="s">
        <v>4</v>
      </c>
      <c r="C9" s="186" t="s">
        <v>5</v>
      </c>
      <c r="D9" s="186" t="s">
        <v>6</v>
      </c>
      <c r="E9" s="190" t="s">
        <v>7</v>
      </c>
      <c r="F9" s="188" t="s">
        <v>8</v>
      </c>
    </row>
    <row r="10" spans="1:7" ht="12.75">
      <c r="A10" s="184"/>
      <c r="B10" s="186"/>
      <c r="C10" s="186"/>
      <c r="D10" s="186"/>
      <c r="E10" s="197"/>
      <c r="F10" s="188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E5</f>
        <v>6907.2</v>
      </c>
      <c r="E13" s="37">
        <v>2</v>
      </c>
      <c r="F13" s="38">
        <f aca="true" t="shared" si="0" ref="F13:F18">E13*D13</f>
        <v>13814.4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1036.08</v>
      </c>
      <c r="E14" s="37">
        <v>105</v>
      </c>
      <c r="F14" s="38">
        <f t="shared" si="0"/>
        <v>108788.4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690.72</v>
      </c>
      <c r="E15" s="37">
        <v>120</v>
      </c>
      <c r="F15" s="38">
        <f t="shared" si="0"/>
        <v>82886.40000000001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6907.2</v>
      </c>
      <c r="E16" s="37">
        <v>3.7</v>
      </c>
      <c r="F16" s="38">
        <f t="shared" si="0"/>
        <v>25556.64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E5</f>
        <v>6907.2</v>
      </c>
      <c r="E17" s="37">
        <v>1.3</v>
      </c>
      <c r="F17" s="38">
        <f t="shared" si="0"/>
        <v>8979.36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690.72</v>
      </c>
      <c r="E18" s="37">
        <v>216</v>
      </c>
      <c r="F18" s="38">
        <f t="shared" si="0"/>
        <v>149195.52000000002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45" t="s">
        <v>19</v>
      </c>
      <c r="B19" s="46"/>
      <c r="C19" s="46"/>
      <c r="D19" s="47"/>
      <c r="E19" s="48"/>
      <c r="F19" s="49">
        <f>SUM(F13:F18)</f>
        <v>389220.72000000003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4.5" customHeight="1">
      <c r="A20" s="10"/>
      <c r="B20" s="11"/>
      <c r="C20" s="11"/>
      <c r="D20" s="11"/>
      <c r="E20" s="11"/>
      <c r="F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Escavação'!J6+'Cal. Escavação'!L6</f>
        <v>3033.504</v>
      </c>
      <c r="E22" s="37">
        <v>11</v>
      </c>
      <c r="F22" s="38">
        <f>E22*D22</f>
        <v>33368.544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624</v>
      </c>
      <c r="E23" s="37">
        <v>60</v>
      </c>
      <c r="F23" s="38">
        <f aca="true" t="shared" si="1" ref="F23:F29">E23*D23</f>
        <v>37440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267</v>
      </c>
      <c r="E24" s="37">
        <v>90</v>
      </c>
      <c r="F24" s="38">
        <f t="shared" si="1"/>
        <v>24030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0</v>
      </c>
      <c r="E25" s="37">
        <v>210</v>
      </c>
      <c r="F25" s="38">
        <f t="shared" si="1"/>
        <v>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>
      <c r="A27" s="34" t="s">
        <v>43</v>
      </c>
      <c r="B27" s="35" t="s">
        <v>29</v>
      </c>
      <c r="C27" s="36" t="s">
        <v>108</v>
      </c>
      <c r="D27" s="37">
        <v>69</v>
      </c>
      <c r="E27" s="37">
        <v>878.3</v>
      </c>
      <c r="F27" s="38">
        <f t="shared" si="1"/>
        <v>60602.7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 customHeight="1">
      <c r="A28" s="34" t="s">
        <v>104</v>
      </c>
      <c r="B28" s="35" t="s">
        <v>31</v>
      </c>
      <c r="C28" s="36" t="s">
        <v>24</v>
      </c>
      <c r="D28" s="37">
        <f>'Cal. Escavação'!M6</f>
        <v>2123.4528</v>
      </c>
      <c r="E28" s="37">
        <v>14</v>
      </c>
      <c r="F28" s="38">
        <f t="shared" si="1"/>
        <v>29728.339200000002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24" customHeight="1">
      <c r="A29" s="34" t="s">
        <v>178</v>
      </c>
      <c r="B29" s="44" t="s">
        <v>35</v>
      </c>
      <c r="C29" s="36" t="s">
        <v>27</v>
      </c>
      <c r="D29" s="37">
        <v>1507.8</v>
      </c>
      <c r="E29" s="37">
        <v>25</v>
      </c>
      <c r="F29" s="38">
        <f t="shared" si="1"/>
        <v>37695</v>
      </c>
      <c r="IE29" s="2"/>
      <c r="IF29" s="2"/>
      <c r="IG29" s="2"/>
      <c r="IH29"/>
      <c r="II29"/>
      <c r="IJ29"/>
      <c r="IK29"/>
      <c r="IL29"/>
      <c r="IM29"/>
    </row>
    <row r="30" spans="1:247" s="9" customFormat="1" ht="11.25" customHeight="1">
      <c r="A30" s="39" t="s">
        <v>19</v>
      </c>
      <c r="B30" s="40"/>
      <c r="C30" s="40"/>
      <c r="D30" s="40"/>
      <c r="E30" s="41"/>
      <c r="F30" s="42">
        <f>SUM(F22:F29)</f>
        <v>222864.5832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6" customHeight="1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12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28.5" customHeight="1">
      <c r="A33" s="34" t="s">
        <v>34</v>
      </c>
      <c r="B33" s="44" t="s">
        <v>121</v>
      </c>
      <c r="C33" s="36" t="s">
        <v>13</v>
      </c>
      <c r="D33" s="37">
        <f>'Quadro Resumo Calçadas'!G6+'Quadro Resumo Calçadas'!G7+'Quadro Resumo Calçadas'!G8</f>
        <v>3378.2599999999998</v>
      </c>
      <c r="E33" s="37">
        <v>44.75</v>
      </c>
      <c r="F33" s="38">
        <f>E33*D33</f>
        <v>151177.13499999998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2.75">
      <c r="A34" s="34" t="s">
        <v>36</v>
      </c>
      <c r="B34" s="44" t="s">
        <v>44</v>
      </c>
      <c r="C34" s="36" t="s">
        <v>108</v>
      </c>
      <c r="D34" s="37">
        <v>1</v>
      </c>
      <c r="E34" s="37">
        <v>300</v>
      </c>
      <c r="F34" s="38">
        <f>E34*D34</f>
        <v>300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2.5">
      <c r="A35" s="34" t="s">
        <v>48</v>
      </c>
      <c r="B35" s="44" t="s">
        <v>123</v>
      </c>
      <c r="C35" s="36" t="s">
        <v>108</v>
      </c>
      <c r="D35" s="37">
        <v>22</v>
      </c>
      <c r="E35" s="37">
        <v>200</v>
      </c>
      <c r="F35" s="38">
        <f>E35*D35</f>
        <v>4400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2.75">
      <c r="A36" s="34" t="s">
        <v>105</v>
      </c>
      <c r="B36" s="44" t="s">
        <v>106</v>
      </c>
      <c r="C36" s="36" t="s">
        <v>13</v>
      </c>
      <c r="D36" s="37">
        <v>0</v>
      </c>
      <c r="E36" s="37">
        <v>17</v>
      </c>
      <c r="F36" s="38">
        <f>E36*D36</f>
        <v>0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2.75" customHeight="1">
      <c r="A37" s="34" t="s">
        <v>107</v>
      </c>
      <c r="B37" s="44" t="s">
        <v>37</v>
      </c>
      <c r="C37" s="36" t="s">
        <v>13</v>
      </c>
      <c r="D37" s="37">
        <f>B5*0.4</f>
        <v>345.36</v>
      </c>
      <c r="E37" s="37">
        <v>17</v>
      </c>
      <c r="F37" s="38">
        <f>E37*D37</f>
        <v>5871.12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2.75">
      <c r="A38" s="39" t="s">
        <v>19</v>
      </c>
      <c r="B38" s="40"/>
      <c r="C38" s="40"/>
      <c r="D38" s="40"/>
      <c r="E38" s="41"/>
      <c r="F38" s="42">
        <f>SUM(F33:F37)</f>
        <v>161748.25499999998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4.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2.75">
      <c r="A40" s="180" t="s">
        <v>124</v>
      </c>
      <c r="B40" s="181"/>
      <c r="C40" s="181"/>
      <c r="D40" s="181"/>
      <c r="E40" s="13"/>
      <c r="F40" s="14">
        <f>F38+F30+F19</f>
        <v>773833.5582000001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6" customHeight="1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1:247" s="9" customFormat="1" ht="12.75">
      <c r="A42" s="9" t="s">
        <v>125</v>
      </c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12" t="s">
        <v>39</v>
      </c>
      <c r="B43" s="12"/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9" t="s">
        <v>126</v>
      </c>
      <c r="IE44" s="2"/>
      <c r="IF44" s="2"/>
      <c r="IG44" s="2"/>
      <c r="IH44"/>
      <c r="II44"/>
      <c r="IJ44"/>
      <c r="IK44"/>
      <c r="IL44"/>
      <c r="IM44"/>
    </row>
    <row r="45" spans="239:247" s="9" customFormat="1" ht="12.75"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spans="239:247" s="9" customFormat="1" ht="12.75">
      <c r="IE52" s="2"/>
      <c r="IF52" s="2"/>
      <c r="IG52" s="2"/>
      <c r="IH52"/>
      <c r="II52"/>
      <c r="IJ52"/>
      <c r="IK52"/>
      <c r="IL52"/>
      <c r="IM52"/>
    </row>
    <row r="53" spans="239:247" s="9" customFormat="1" ht="12.75">
      <c r="IE53" s="2"/>
      <c r="IF53" s="2"/>
      <c r="IG53" s="2"/>
      <c r="IH53"/>
      <c r="II53"/>
      <c r="IJ53"/>
      <c r="IK53"/>
      <c r="IL53"/>
      <c r="IM53"/>
    </row>
    <row r="54" ht="12.75">
      <c r="A54" s="20"/>
    </row>
  </sheetData>
  <sheetProtection/>
  <mergeCells count="8">
    <mergeCell ref="A40:D40"/>
    <mergeCell ref="A7:F7"/>
    <mergeCell ref="A9:A10"/>
    <mergeCell ref="B9:B10"/>
    <mergeCell ref="C9:C10"/>
    <mergeCell ref="D9:D10"/>
    <mergeCell ref="E9:E10"/>
    <mergeCell ref="F9:F1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54"/>
  <sheetViews>
    <sheetView view="pageBreakPreview" zoomScaleNormal="90" zoomScaleSheetLayoutView="100" zoomScalePageLayoutView="0" workbookViewId="0" topLeftCell="A1">
      <selection activeCell="A33" sqref="A33:F33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60</v>
      </c>
      <c r="D2"/>
      <c r="E2"/>
      <c r="F2" s="3"/>
    </row>
    <row r="3" spans="1:6" ht="12.75">
      <c r="A3" s="18" t="s">
        <v>59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863.9</v>
      </c>
      <c r="D5" s="7" t="s">
        <v>1</v>
      </c>
      <c r="E5" s="8">
        <f>B5*8</f>
        <v>6911.2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5" t="s">
        <v>3</v>
      </c>
      <c r="B9" s="187" t="s">
        <v>4</v>
      </c>
      <c r="C9" s="187" t="s">
        <v>5</v>
      </c>
      <c r="D9" s="187" t="s">
        <v>6</v>
      </c>
      <c r="E9" s="190" t="s">
        <v>7</v>
      </c>
      <c r="F9" s="200" t="s">
        <v>8</v>
      </c>
    </row>
    <row r="10" spans="1:7" ht="12.75">
      <c r="A10" s="198"/>
      <c r="B10" s="199"/>
      <c r="C10" s="199"/>
      <c r="D10" s="199"/>
      <c r="E10" s="197"/>
      <c r="F10" s="201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$E$5</f>
        <v>6911.2</v>
      </c>
      <c r="E13" s="37">
        <v>2</v>
      </c>
      <c r="F13" s="38">
        <f aca="true" t="shared" si="0" ref="F13:F18">E13*D13</f>
        <v>13822.4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1036.6799999999998</v>
      </c>
      <c r="E14" s="37">
        <v>105</v>
      </c>
      <c r="F14" s="38">
        <f t="shared" si="0"/>
        <v>108851.39999999998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691.12</v>
      </c>
      <c r="E15" s="37">
        <v>120</v>
      </c>
      <c r="F15" s="38">
        <f t="shared" si="0"/>
        <v>82934.4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6911.2</v>
      </c>
      <c r="E16" s="37">
        <v>3.7</v>
      </c>
      <c r="F16" s="38">
        <f t="shared" si="0"/>
        <v>25571.440000000002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E5</f>
        <v>6911.2</v>
      </c>
      <c r="E17" s="37">
        <v>1.3</v>
      </c>
      <c r="F17" s="38">
        <f t="shared" si="0"/>
        <v>8984.56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691.12</v>
      </c>
      <c r="E18" s="37">
        <v>216</v>
      </c>
      <c r="F18" s="38">
        <f t="shared" si="0"/>
        <v>149281.92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204" t="s">
        <v>19</v>
      </c>
      <c r="B19" s="205"/>
      <c r="C19" s="107"/>
      <c r="D19" s="108"/>
      <c r="E19" s="48"/>
      <c r="F19" s="49">
        <f>SUM(F13:F18)</f>
        <v>389446.12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4.5" customHeight="1">
      <c r="A20" s="10"/>
      <c r="B20" s="11"/>
      <c r="C20" s="11"/>
      <c r="D20" s="11"/>
      <c r="E20" s="11"/>
      <c r="F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Escavação'!L7+'Cal. Escavação'!J7</f>
        <v>3814.88</v>
      </c>
      <c r="E22" s="37">
        <v>11</v>
      </c>
      <c r="F22" s="38">
        <f aca="true" t="shared" si="1" ref="F22:F29">E22*D22</f>
        <v>41963.68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506</v>
      </c>
      <c r="E23" s="37">
        <v>60</v>
      </c>
      <c r="F23" s="38">
        <f t="shared" si="1"/>
        <v>30360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274</v>
      </c>
      <c r="E24" s="37">
        <v>90</v>
      </c>
      <c r="F24" s="38">
        <f t="shared" si="1"/>
        <v>24660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187</v>
      </c>
      <c r="E25" s="37">
        <v>210</v>
      </c>
      <c r="F25" s="38">
        <f t="shared" si="1"/>
        <v>39270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>
      <c r="A27" s="34" t="s">
        <v>43</v>
      </c>
      <c r="B27" s="35" t="s">
        <v>29</v>
      </c>
      <c r="C27" s="36" t="s">
        <v>108</v>
      </c>
      <c r="D27" s="37">
        <v>64</v>
      </c>
      <c r="E27" s="37">
        <v>878.3</v>
      </c>
      <c r="F27" s="38">
        <f t="shared" si="1"/>
        <v>56211.2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 customHeight="1">
      <c r="A28" s="34" t="s">
        <v>104</v>
      </c>
      <c r="B28" s="35" t="s">
        <v>31</v>
      </c>
      <c r="C28" s="36" t="s">
        <v>24</v>
      </c>
      <c r="D28" s="37">
        <f>'Cal. Escavação'!M7</f>
        <v>2670.4159999999997</v>
      </c>
      <c r="E28" s="37">
        <v>14</v>
      </c>
      <c r="F28" s="38">
        <f t="shared" si="1"/>
        <v>37385.82399999999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12.75" customHeight="1">
      <c r="A29" s="34" t="s">
        <v>178</v>
      </c>
      <c r="B29" s="44" t="s">
        <v>35</v>
      </c>
      <c r="C29" s="36" t="s">
        <v>27</v>
      </c>
      <c r="D29" s="37">
        <v>1510.8</v>
      </c>
      <c r="E29" s="37">
        <v>25</v>
      </c>
      <c r="F29" s="38">
        <f t="shared" si="1"/>
        <v>37770</v>
      </c>
      <c r="IE29" s="2"/>
      <c r="IF29" s="2"/>
      <c r="IG29" s="2"/>
      <c r="IH29"/>
      <c r="II29"/>
      <c r="IJ29"/>
      <c r="IK29"/>
      <c r="IL29"/>
      <c r="IM29"/>
    </row>
    <row r="30" spans="1:247" s="9" customFormat="1" ht="12.75">
      <c r="A30" s="202" t="s">
        <v>19</v>
      </c>
      <c r="B30" s="203"/>
      <c r="C30" s="106"/>
      <c r="D30" s="41"/>
      <c r="E30" s="41"/>
      <c r="F30" s="42">
        <f>SUM(F22:F29)</f>
        <v>267620.704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6.75" customHeight="1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12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24" customHeight="1">
      <c r="A33" s="34" t="s">
        <v>34</v>
      </c>
      <c r="B33" s="44" t="s">
        <v>121</v>
      </c>
      <c r="C33" s="36" t="s">
        <v>13</v>
      </c>
      <c r="D33" s="37">
        <f>'Quadro Resumo Calçadas'!G9</f>
        <v>2375.7</v>
      </c>
      <c r="E33" s="37">
        <v>44.75</v>
      </c>
      <c r="F33" s="38">
        <f>E33*D33</f>
        <v>106312.575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2.75">
      <c r="A34" s="34" t="s">
        <v>36</v>
      </c>
      <c r="B34" s="44" t="s">
        <v>44</v>
      </c>
      <c r="C34" s="36" t="s">
        <v>108</v>
      </c>
      <c r="D34" s="37">
        <v>1</v>
      </c>
      <c r="E34" s="37">
        <v>300</v>
      </c>
      <c r="F34" s="38">
        <f>E34*D34</f>
        <v>300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2.5">
      <c r="A35" s="34" t="s">
        <v>48</v>
      </c>
      <c r="B35" s="44" t="s">
        <v>123</v>
      </c>
      <c r="C35" s="36" t="s">
        <v>108</v>
      </c>
      <c r="D35" s="37">
        <v>22</v>
      </c>
      <c r="E35" s="37">
        <v>200</v>
      </c>
      <c r="F35" s="38">
        <f>E35*D35</f>
        <v>4400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2.75">
      <c r="A36" s="34" t="s">
        <v>105</v>
      </c>
      <c r="B36" s="44" t="s">
        <v>106</v>
      </c>
      <c r="C36" s="36" t="s">
        <v>13</v>
      </c>
      <c r="D36" s="37">
        <v>0</v>
      </c>
      <c r="E36" s="37">
        <v>17</v>
      </c>
      <c r="F36" s="38">
        <f>E36*D36</f>
        <v>0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2.75" customHeight="1">
      <c r="A37" s="34" t="s">
        <v>107</v>
      </c>
      <c r="B37" s="44" t="s">
        <v>37</v>
      </c>
      <c r="C37" s="36" t="s">
        <v>13</v>
      </c>
      <c r="D37" s="37">
        <f>B5*0.4</f>
        <v>345.56</v>
      </c>
      <c r="E37" s="37">
        <v>17</v>
      </c>
      <c r="F37" s="38">
        <f>E37*D37</f>
        <v>5874.52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2.75">
      <c r="A38" s="202" t="s">
        <v>19</v>
      </c>
      <c r="B38" s="206"/>
      <c r="C38" s="41"/>
      <c r="D38" s="41"/>
      <c r="E38" s="41"/>
      <c r="F38" s="42">
        <f>SUM(F33:F37)</f>
        <v>116887.095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4.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2.75">
      <c r="A40" s="207" t="s">
        <v>124</v>
      </c>
      <c r="B40" s="208"/>
      <c r="C40" s="208"/>
      <c r="D40" s="208"/>
      <c r="E40" s="13"/>
      <c r="F40" s="14">
        <f>F38+F30+F19</f>
        <v>773953.919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4.5" customHeight="1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239:247" s="9" customFormat="1" ht="12.75"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9" t="s">
        <v>125</v>
      </c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12" t="s">
        <v>39</v>
      </c>
      <c r="B44" s="12"/>
      <c r="IE44" s="2"/>
      <c r="IF44" s="2"/>
      <c r="IG44" s="2"/>
      <c r="IH44"/>
      <c r="II44"/>
      <c r="IJ44"/>
      <c r="IK44"/>
      <c r="IL44"/>
      <c r="IM44"/>
    </row>
    <row r="45" spans="1:247" s="9" customFormat="1" ht="12.75">
      <c r="A45" s="9" t="s">
        <v>127</v>
      </c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spans="239:247" s="9" customFormat="1" ht="12.75">
      <c r="IE52" s="2"/>
      <c r="IF52" s="2"/>
      <c r="IG52" s="2"/>
      <c r="IH52"/>
      <c r="II52"/>
      <c r="IJ52"/>
      <c r="IK52"/>
      <c r="IL52"/>
      <c r="IM52"/>
    </row>
    <row r="53" spans="239:247" s="9" customFormat="1" ht="12.75">
      <c r="IE53" s="2"/>
      <c r="IF53" s="2"/>
      <c r="IG53" s="2"/>
      <c r="IH53"/>
      <c r="II53"/>
      <c r="IJ53"/>
      <c r="IK53"/>
      <c r="IL53"/>
      <c r="IM53"/>
    </row>
    <row r="54" ht="12.75">
      <c r="A54" s="20"/>
    </row>
  </sheetData>
  <sheetProtection/>
  <mergeCells count="11">
    <mergeCell ref="A30:B30"/>
    <mergeCell ref="A19:B19"/>
    <mergeCell ref="A38:B38"/>
    <mergeCell ref="A40:D40"/>
    <mergeCell ref="A7:F7"/>
    <mergeCell ref="A9:A10"/>
    <mergeCell ref="B9:B10"/>
    <mergeCell ref="C9:C10"/>
    <mergeCell ref="D9:D10"/>
    <mergeCell ref="E9:E10"/>
    <mergeCell ref="F9:F1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53"/>
  <sheetViews>
    <sheetView view="pageBreakPreview" zoomScaleNormal="90" zoomScaleSheetLayoutView="100" zoomScalePageLayoutView="0" workbookViewId="0" topLeftCell="A1">
      <selection activeCell="B35" sqref="B35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61</v>
      </c>
      <c r="D2"/>
      <c r="E2"/>
      <c r="F2" s="3"/>
    </row>
    <row r="3" spans="1:6" ht="12.75">
      <c r="A3" s="18" t="s">
        <v>59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863.9</v>
      </c>
      <c r="D5" s="7" t="s">
        <v>1</v>
      </c>
      <c r="E5" s="8">
        <f>B5*8</f>
        <v>6911.2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5" t="s">
        <v>3</v>
      </c>
      <c r="B9" s="187" t="s">
        <v>4</v>
      </c>
      <c r="C9" s="187" t="s">
        <v>5</v>
      </c>
      <c r="D9" s="187" t="s">
        <v>6</v>
      </c>
      <c r="E9" s="190" t="s">
        <v>7</v>
      </c>
      <c r="F9" s="200" t="s">
        <v>8</v>
      </c>
    </row>
    <row r="10" spans="1:7" ht="12.75">
      <c r="A10" s="198"/>
      <c r="B10" s="199"/>
      <c r="C10" s="199"/>
      <c r="D10" s="199"/>
      <c r="E10" s="197"/>
      <c r="F10" s="201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E5</f>
        <v>6911.2</v>
      </c>
      <c r="E13" s="37">
        <v>2</v>
      </c>
      <c r="F13" s="38">
        <f aca="true" t="shared" si="0" ref="F13:F18">E13*D13</f>
        <v>13822.4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1036.6799999999998</v>
      </c>
      <c r="E14" s="37">
        <v>105</v>
      </c>
      <c r="F14" s="38">
        <f t="shared" si="0"/>
        <v>108851.39999999998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691.12</v>
      </c>
      <c r="E15" s="37">
        <v>120</v>
      </c>
      <c r="F15" s="38">
        <f t="shared" si="0"/>
        <v>82934.4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6911.2</v>
      </c>
      <c r="E16" s="37">
        <v>3.7</v>
      </c>
      <c r="F16" s="38">
        <f t="shared" si="0"/>
        <v>25571.440000000002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E5</f>
        <v>6911.2</v>
      </c>
      <c r="E17" s="37">
        <v>1.3</v>
      </c>
      <c r="F17" s="38">
        <f t="shared" si="0"/>
        <v>8984.56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691.12</v>
      </c>
      <c r="E18" s="37">
        <v>216</v>
      </c>
      <c r="F18" s="38">
        <f t="shared" si="0"/>
        <v>149281.92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204" t="s">
        <v>19</v>
      </c>
      <c r="B19" s="205"/>
      <c r="C19" s="107"/>
      <c r="D19" s="108"/>
      <c r="E19" s="48"/>
      <c r="F19" s="49">
        <f>SUM(F13:F18)</f>
        <v>389446.12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4.5" customHeight="1">
      <c r="A20" s="10"/>
      <c r="B20" s="11"/>
      <c r="C20" s="11"/>
      <c r="D20" s="11"/>
      <c r="E20" s="11"/>
      <c r="F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Escavação'!J8+'Cal. Escavação'!L8</f>
        <v>3541.248</v>
      </c>
      <c r="E22" s="37">
        <v>11</v>
      </c>
      <c r="F22" s="38">
        <f aca="true" t="shared" si="1" ref="F22:F29">E22*D22</f>
        <v>38953.728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860</v>
      </c>
      <c r="E23" s="37">
        <v>60</v>
      </c>
      <c r="F23" s="38">
        <f t="shared" si="1"/>
        <v>51600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207</v>
      </c>
      <c r="E24" s="37">
        <v>90</v>
      </c>
      <c r="F24" s="38">
        <f t="shared" si="1"/>
        <v>18630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0</v>
      </c>
      <c r="E25" s="37">
        <v>210</v>
      </c>
      <c r="F25" s="38">
        <f t="shared" si="1"/>
        <v>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>
      <c r="A27" s="34" t="s">
        <v>43</v>
      </c>
      <c r="B27" s="35" t="s">
        <v>29</v>
      </c>
      <c r="C27" s="36" t="s">
        <v>108</v>
      </c>
      <c r="D27" s="37">
        <v>63</v>
      </c>
      <c r="E27" s="37">
        <v>878.3</v>
      </c>
      <c r="F27" s="38">
        <f t="shared" si="1"/>
        <v>55332.899999999994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 customHeight="1">
      <c r="A28" s="34" t="s">
        <v>104</v>
      </c>
      <c r="B28" s="35" t="s">
        <v>31</v>
      </c>
      <c r="C28" s="36" t="s">
        <v>24</v>
      </c>
      <c r="D28" s="37">
        <f>'Cal. Escavação'!M8</f>
        <v>2478.8736</v>
      </c>
      <c r="E28" s="37">
        <v>14</v>
      </c>
      <c r="F28" s="38">
        <f t="shared" si="1"/>
        <v>34704.2304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12.75" customHeight="1">
      <c r="A29" s="34" t="s">
        <v>178</v>
      </c>
      <c r="B29" s="44" t="s">
        <v>35</v>
      </c>
      <c r="C29" s="36" t="s">
        <v>27</v>
      </c>
      <c r="D29" s="37">
        <v>1505.3</v>
      </c>
      <c r="E29" s="37">
        <v>25</v>
      </c>
      <c r="F29" s="38">
        <f t="shared" si="1"/>
        <v>37632.5</v>
      </c>
      <c r="IE29" s="2"/>
      <c r="IF29" s="2"/>
      <c r="IG29" s="2"/>
      <c r="IH29"/>
      <c r="II29"/>
      <c r="IJ29"/>
      <c r="IK29"/>
      <c r="IL29"/>
      <c r="IM29"/>
    </row>
    <row r="30" spans="1:247" s="9" customFormat="1" ht="12.75">
      <c r="A30" s="202" t="s">
        <v>19</v>
      </c>
      <c r="B30" s="203"/>
      <c r="C30" s="106"/>
      <c r="D30" s="41"/>
      <c r="E30" s="41"/>
      <c r="F30" s="42">
        <f>SUM(F22:F29)</f>
        <v>236853.3584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6" customHeight="1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12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33.75">
      <c r="A33" s="34" t="s">
        <v>34</v>
      </c>
      <c r="B33" s="44" t="s">
        <v>121</v>
      </c>
      <c r="C33" s="36" t="s">
        <v>13</v>
      </c>
      <c r="D33" s="37">
        <f>'Quadro Resumo Calçadas'!G10</f>
        <v>2367.45</v>
      </c>
      <c r="E33" s="37">
        <v>44.75</v>
      </c>
      <c r="F33" s="38">
        <f>E33*D33</f>
        <v>105943.3875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2.75">
      <c r="A34" s="34" t="s">
        <v>36</v>
      </c>
      <c r="B34" s="44" t="s">
        <v>44</v>
      </c>
      <c r="C34" s="36" t="s">
        <v>108</v>
      </c>
      <c r="D34" s="37">
        <v>2</v>
      </c>
      <c r="E34" s="37">
        <v>300</v>
      </c>
      <c r="F34" s="38">
        <f>E34*D34</f>
        <v>600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2.5">
      <c r="A35" s="34" t="s">
        <v>48</v>
      </c>
      <c r="B35" s="44" t="s">
        <v>123</v>
      </c>
      <c r="C35" s="36" t="s">
        <v>108</v>
      </c>
      <c r="D35" s="37">
        <v>22</v>
      </c>
      <c r="E35" s="37">
        <v>200</v>
      </c>
      <c r="F35" s="38">
        <f>E35*D35</f>
        <v>4400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2.75" customHeight="1">
      <c r="A36" s="34" t="s">
        <v>105</v>
      </c>
      <c r="B36" s="44" t="s">
        <v>106</v>
      </c>
      <c r="C36" s="36" t="s">
        <v>13</v>
      </c>
      <c r="D36" s="37">
        <v>0</v>
      </c>
      <c r="E36" s="37">
        <v>17</v>
      </c>
      <c r="F36" s="38">
        <f>E36*D36</f>
        <v>0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2.75">
      <c r="A37" s="34" t="s">
        <v>107</v>
      </c>
      <c r="B37" s="44" t="s">
        <v>37</v>
      </c>
      <c r="C37" s="36" t="s">
        <v>13</v>
      </c>
      <c r="D37" s="37">
        <f>B5*0.4</f>
        <v>345.56</v>
      </c>
      <c r="E37" s="37">
        <v>17</v>
      </c>
      <c r="F37" s="38">
        <f>E37*D37</f>
        <v>5874.52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2" customHeight="1">
      <c r="A38" s="202" t="s">
        <v>19</v>
      </c>
      <c r="B38" s="206"/>
      <c r="C38" s="41"/>
      <c r="D38" s="41"/>
      <c r="E38" s="41"/>
      <c r="F38" s="42">
        <f>SUM(F33:F37)</f>
        <v>116817.9075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8.2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1.25" customHeight="1">
      <c r="A40" s="207" t="s">
        <v>124</v>
      </c>
      <c r="B40" s="208"/>
      <c r="C40" s="208"/>
      <c r="D40" s="208"/>
      <c r="E40" s="13"/>
      <c r="F40" s="14">
        <f>F38+F30+F19</f>
        <v>743117.3859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12.75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1:247" s="9" customFormat="1" ht="12.75">
      <c r="A42" s="9" t="s">
        <v>125</v>
      </c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12" t="s">
        <v>39</v>
      </c>
      <c r="B43" s="12"/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9" t="s">
        <v>127</v>
      </c>
      <c r="IE44" s="2"/>
      <c r="IF44" s="2"/>
      <c r="IG44" s="2"/>
      <c r="IH44"/>
      <c r="II44"/>
      <c r="IJ44"/>
      <c r="IK44"/>
      <c r="IL44"/>
      <c r="IM44"/>
    </row>
    <row r="45" spans="239:247" s="9" customFormat="1" ht="12.75"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spans="239:247" s="9" customFormat="1" ht="12.75">
      <c r="IE52" s="2"/>
      <c r="IF52" s="2"/>
      <c r="IG52" s="2"/>
      <c r="IH52"/>
      <c r="II52"/>
      <c r="IJ52"/>
      <c r="IK52"/>
      <c r="IL52"/>
      <c r="IM52"/>
    </row>
    <row r="53" ht="12.75">
      <c r="A53" s="20"/>
    </row>
  </sheetData>
  <sheetProtection/>
  <mergeCells count="11">
    <mergeCell ref="A7:F7"/>
    <mergeCell ref="A9:A10"/>
    <mergeCell ref="B9:B10"/>
    <mergeCell ref="C9:C10"/>
    <mergeCell ref="D9:D10"/>
    <mergeCell ref="E9:E10"/>
    <mergeCell ref="F9:F10"/>
    <mergeCell ref="A19:B19"/>
    <mergeCell ref="A30:B30"/>
    <mergeCell ref="A38:B38"/>
    <mergeCell ref="A40:D4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M53"/>
  <sheetViews>
    <sheetView view="pageBreakPreview" zoomScaleNormal="90" zoomScaleSheetLayoutView="100" zoomScalePageLayoutView="0" workbookViewId="0" topLeftCell="A1">
      <selection activeCell="A33" sqref="A33:F33"/>
    </sheetView>
  </sheetViews>
  <sheetFormatPr defaultColWidth="9.140625" defaultRowHeight="12.75"/>
  <cols>
    <col min="1" max="1" width="9.28125" style="1" customWidth="1"/>
    <col min="2" max="2" width="42.7109375" style="1" customWidth="1"/>
    <col min="3" max="3" width="7.7109375" style="1" customWidth="1"/>
    <col min="4" max="4" width="10.7109375" style="1" customWidth="1"/>
    <col min="5" max="5" width="9.57421875" style="1" customWidth="1"/>
    <col min="6" max="6" width="12.00390625" style="1" customWidth="1"/>
    <col min="7" max="238" width="9.140625" style="1" customWidth="1"/>
    <col min="239" max="241" width="9.140625" style="2" customWidth="1"/>
  </cols>
  <sheetData>
    <row r="1" spans="1:5" ht="12.75">
      <c r="A1" s="4" t="str">
        <f>'[2]plan-leve'!A12</f>
        <v>PAVIMENTAÇÃO ASFÁLTICA COM CAUQ, DRENAGEM PLUVIAL E OBRAS COMPLEMENTARES</v>
      </c>
      <c r="D1"/>
      <c r="E1"/>
    </row>
    <row r="2" spans="1:6" ht="12.75">
      <c r="A2" s="17" t="s">
        <v>62</v>
      </c>
      <c r="D2"/>
      <c r="E2"/>
      <c r="F2" s="3"/>
    </row>
    <row r="3" spans="1:6" ht="12.75">
      <c r="A3" s="18" t="s">
        <v>63</v>
      </c>
      <c r="D3"/>
      <c r="E3"/>
      <c r="F3" s="3"/>
    </row>
    <row r="4" spans="1:6" ht="12.75">
      <c r="A4" s="5"/>
      <c r="D4"/>
      <c r="E4"/>
      <c r="F4" s="3"/>
    </row>
    <row r="5" spans="1:7" ht="12.75">
      <c r="A5" s="5" t="s">
        <v>0</v>
      </c>
      <c r="B5" s="6">
        <v>274.6</v>
      </c>
      <c r="D5" s="7" t="s">
        <v>1</v>
      </c>
      <c r="E5" s="8">
        <f>B5*10</f>
        <v>2746</v>
      </c>
      <c r="F5" s="3"/>
      <c r="G5" s="1">
        <v>6</v>
      </c>
    </row>
    <row r="6" ht="4.5" customHeight="1"/>
    <row r="7" spans="1:6" ht="18" customHeight="1">
      <c r="A7" s="183" t="s">
        <v>2</v>
      </c>
      <c r="B7" s="183"/>
      <c r="C7" s="183"/>
      <c r="D7" s="183"/>
      <c r="E7" s="183"/>
      <c r="F7" s="183"/>
    </row>
    <row r="8" ht="4.5" customHeight="1"/>
    <row r="9" spans="1:6" ht="12.75" customHeight="1">
      <c r="A9" s="185" t="s">
        <v>3</v>
      </c>
      <c r="B9" s="187" t="s">
        <v>4</v>
      </c>
      <c r="C9" s="187" t="s">
        <v>5</v>
      </c>
      <c r="D9" s="187" t="s">
        <v>6</v>
      </c>
      <c r="E9" s="190" t="s">
        <v>7</v>
      </c>
      <c r="F9" s="200" t="s">
        <v>8</v>
      </c>
    </row>
    <row r="10" spans="1:7" ht="12.75">
      <c r="A10" s="198"/>
      <c r="B10" s="199"/>
      <c r="C10" s="199"/>
      <c r="D10" s="199"/>
      <c r="E10" s="197"/>
      <c r="F10" s="201"/>
      <c r="G10" s="7" t="s">
        <v>47</v>
      </c>
    </row>
    <row r="11" ht="4.5" customHeight="1"/>
    <row r="12" spans="1:247" s="9" customFormat="1" ht="12.75">
      <c r="A12" s="50" t="s">
        <v>9</v>
      </c>
      <c r="B12" s="33" t="s">
        <v>10</v>
      </c>
      <c r="C12" s="33"/>
      <c r="D12" s="33"/>
      <c r="E12" s="33"/>
      <c r="F12" s="33"/>
      <c r="IE12" s="2"/>
      <c r="IF12" s="2"/>
      <c r="IG12" s="2"/>
      <c r="IH12"/>
      <c r="II12"/>
      <c r="IJ12"/>
      <c r="IK12"/>
      <c r="IL12"/>
      <c r="IM12"/>
    </row>
    <row r="13" spans="1:247" s="9" customFormat="1" ht="22.5">
      <c r="A13" s="51" t="s">
        <v>11</v>
      </c>
      <c r="B13" s="44" t="s">
        <v>12</v>
      </c>
      <c r="C13" s="36" t="s">
        <v>13</v>
      </c>
      <c r="D13" s="37">
        <f>E5</f>
        <v>2746</v>
      </c>
      <c r="E13" s="37">
        <v>2</v>
      </c>
      <c r="F13" s="38">
        <f aca="true" t="shared" si="0" ref="F13:F18">E13*D13</f>
        <v>5492</v>
      </c>
      <c r="IE13" s="2"/>
      <c r="IF13" s="2"/>
      <c r="IG13" s="2"/>
      <c r="IH13"/>
      <c r="II13"/>
      <c r="IJ13"/>
      <c r="IK13"/>
      <c r="IL13"/>
      <c r="IM13"/>
    </row>
    <row r="14" spans="1:247" s="9" customFormat="1" ht="12.75">
      <c r="A14" s="51" t="s">
        <v>14</v>
      </c>
      <c r="B14" s="44" t="s">
        <v>15</v>
      </c>
      <c r="C14" s="36" t="s">
        <v>24</v>
      </c>
      <c r="D14" s="37">
        <f>E5*0.15</f>
        <v>411.9</v>
      </c>
      <c r="E14" s="37">
        <v>105</v>
      </c>
      <c r="F14" s="38">
        <f t="shared" si="0"/>
        <v>43249.5</v>
      </c>
      <c r="IE14" s="2"/>
      <c r="IF14" s="2"/>
      <c r="IG14" s="2"/>
      <c r="IH14"/>
      <c r="II14"/>
      <c r="IJ14"/>
      <c r="IK14"/>
      <c r="IL14"/>
      <c r="IM14"/>
    </row>
    <row r="15" spans="1:247" s="9" customFormat="1" ht="12.75">
      <c r="A15" s="51" t="s">
        <v>16</v>
      </c>
      <c r="B15" s="44" t="s">
        <v>99</v>
      </c>
      <c r="C15" s="36" t="s">
        <v>24</v>
      </c>
      <c r="D15" s="37">
        <f>E5*0.1</f>
        <v>274.6</v>
      </c>
      <c r="E15" s="37">
        <v>120</v>
      </c>
      <c r="F15" s="38">
        <f t="shared" si="0"/>
        <v>32952</v>
      </c>
      <c r="IE15" s="2"/>
      <c r="IF15" s="2"/>
      <c r="IG15" s="2"/>
      <c r="IH15"/>
      <c r="II15"/>
      <c r="IJ15"/>
      <c r="IK15"/>
      <c r="IL15"/>
      <c r="IM15"/>
    </row>
    <row r="16" spans="1:247" s="9" customFormat="1" ht="12.75">
      <c r="A16" s="51" t="s">
        <v>17</v>
      </c>
      <c r="B16" s="44" t="s">
        <v>101</v>
      </c>
      <c r="C16" s="36" t="s">
        <v>13</v>
      </c>
      <c r="D16" s="37">
        <f>E5</f>
        <v>2746</v>
      </c>
      <c r="E16" s="37">
        <v>3.7</v>
      </c>
      <c r="F16" s="38">
        <f t="shared" si="0"/>
        <v>10160.2</v>
      </c>
      <c r="IE16" s="2"/>
      <c r="IF16" s="2"/>
      <c r="IG16" s="2"/>
      <c r="IH16"/>
      <c r="II16"/>
      <c r="IJ16"/>
      <c r="IK16"/>
      <c r="IL16"/>
      <c r="IM16"/>
    </row>
    <row r="17" spans="1:247" s="9" customFormat="1" ht="12.75">
      <c r="A17" s="51" t="s">
        <v>18</v>
      </c>
      <c r="B17" s="44" t="s">
        <v>120</v>
      </c>
      <c r="C17" s="36" t="s">
        <v>13</v>
      </c>
      <c r="D17" s="37">
        <f>E5</f>
        <v>2746</v>
      </c>
      <c r="E17" s="37">
        <v>1.3</v>
      </c>
      <c r="F17" s="38">
        <f t="shared" si="0"/>
        <v>3569.8</v>
      </c>
      <c r="IE17" s="2"/>
      <c r="IF17" s="2"/>
      <c r="IG17" s="2"/>
      <c r="IH17"/>
      <c r="II17"/>
      <c r="IJ17"/>
      <c r="IK17"/>
      <c r="IL17"/>
      <c r="IM17"/>
    </row>
    <row r="18" spans="1:247" s="9" customFormat="1" ht="12.75">
      <c r="A18" s="34" t="s">
        <v>100</v>
      </c>
      <c r="B18" s="44" t="s">
        <v>179</v>
      </c>
      <c r="C18" s="36" t="s">
        <v>46</v>
      </c>
      <c r="D18" s="37">
        <f>E5*0.1</f>
        <v>274.6</v>
      </c>
      <c r="E18" s="37">
        <v>216</v>
      </c>
      <c r="F18" s="38">
        <f t="shared" si="0"/>
        <v>59313.600000000006</v>
      </c>
      <c r="IE18" s="2"/>
      <c r="IF18" s="2"/>
      <c r="IG18" s="2"/>
      <c r="IH18"/>
      <c r="II18"/>
      <c r="IJ18"/>
      <c r="IK18"/>
      <c r="IL18"/>
      <c r="IM18"/>
    </row>
    <row r="19" spans="1:247" s="9" customFormat="1" ht="12.75">
      <c r="A19" s="204" t="s">
        <v>19</v>
      </c>
      <c r="B19" s="205"/>
      <c r="C19" s="107"/>
      <c r="D19" s="108"/>
      <c r="E19" s="48"/>
      <c r="F19" s="49">
        <f>SUM(F13:F18)</f>
        <v>154737.1</v>
      </c>
      <c r="IE19" s="2"/>
      <c r="IF19" s="2"/>
      <c r="IG19" s="2"/>
      <c r="IH19"/>
      <c r="II19"/>
      <c r="IJ19"/>
      <c r="IK19"/>
      <c r="IL19"/>
      <c r="IM19"/>
    </row>
    <row r="20" spans="1:247" s="9" customFormat="1" ht="4.5" customHeight="1">
      <c r="A20" s="10"/>
      <c r="B20" s="11"/>
      <c r="C20" s="11"/>
      <c r="D20" s="11"/>
      <c r="E20" s="11"/>
      <c r="F20" s="11"/>
      <c r="IE20" s="2"/>
      <c r="IF20" s="2"/>
      <c r="IG20" s="2"/>
      <c r="IH20"/>
      <c r="II20"/>
      <c r="IJ20"/>
      <c r="IK20"/>
      <c r="IL20"/>
      <c r="IM20"/>
    </row>
    <row r="21" spans="1:247" s="9" customFormat="1" ht="12.75">
      <c r="A21" s="32" t="s">
        <v>20</v>
      </c>
      <c r="B21" s="33" t="s">
        <v>21</v>
      </c>
      <c r="C21" s="33"/>
      <c r="D21" s="33"/>
      <c r="E21" s="33"/>
      <c r="F21" s="33"/>
      <c r="IE21" s="2"/>
      <c r="IF21" s="2"/>
      <c r="IG21" s="2"/>
      <c r="IH21"/>
      <c r="II21"/>
      <c r="IJ21"/>
      <c r="IK21"/>
      <c r="IL21"/>
      <c r="IM21"/>
    </row>
    <row r="22" spans="1:247" s="9" customFormat="1" ht="12.75">
      <c r="A22" s="34" t="s">
        <v>22</v>
      </c>
      <c r="B22" s="35" t="s">
        <v>23</v>
      </c>
      <c r="C22" s="36" t="s">
        <v>24</v>
      </c>
      <c r="D22" s="37">
        <f>'Cal. Escavação'!J9+'Cal. Escavação'!L9</f>
        <v>858.6719999999999</v>
      </c>
      <c r="E22" s="37">
        <v>11</v>
      </c>
      <c r="F22" s="38">
        <f aca="true" t="shared" si="1" ref="F22:F29">E22*D22</f>
        <v>9445.392</v>
      </c>
      <c r="IE22" s="2"/>
      <c r="IF22" s="2"/>
      <c r="IG22" s="2"/>
      <c r="IH22"/>
      <c r="II22"/>
      <c r="IJ22"/>
      <c r="IK22"/>
      <c r="IL22"/>
      <c r="IM22"/>
    </row>
    <row r="23" spans="1:247" s="9" customFormat="1" ht="12.75">
      <c r="A23" s="34" t="s">
        <v>25</v>
      </c>
      <c r="B23" s="35" t="s">
        <v>26</v>
      </c>
      <c r="C23" s="36" t="s">
        <v>27</v>
      </c>
      <c r="D23" s="37">
        <v>106</v>
      </c>
      <c r="E23" s="37">
        <v>60</v>
      </c>
      <c r="F23" s="38">
        <f t="shared" si="1"/>
        <v>6360</v>
      </c>
      <c r="IE23" s="2"/>
      <c r="IF23" s="2"/>
      <c r="IG23" s="2"/>
      <c r="IH23"/>
      <c r="II23"/>
      <c r="IJ23"/>
      <c r="IK23"/>
      <c r="IL23"/>
      <c r="IM23"/>
    </row>
    <row r="24" spans="1:247" s="9" customFormat="1" ht="12.75">
      <c r="A24" s="34" t="s">
        <v>28</v>
      </c>
      <c r="B24" s="35" t="s">
        <v>41</v>
      </c>
      <c r="C24" s="36" t="s">
        <v>27</v>
      </c>
      <c r="D24" s="37">
        <v>146</v>
      </c>
      <c r="E24" s="37">
        <v>90</v>
      </c>
      <c r="F24" s="38">
        <f t="shared" si="1"/>
        <v>13140</v>
      </c>
      <c r="IE24" s="2"/>
      <c r="IF24" s="2"/>
      <c r="IG24" s="2"/>
      <c r="IH24"/>
      <c r="II24"/>
      <c r="IJ24"/>
      <c r="IK24"/>
      <c r="IL24"/>
      <c r="IM24"/>
    </row>
    <row r="25" spans="1:247" s="9" customFormat="1" ht="12.75">
      <c r="A25" s="34" t="s">
        <v>30</v>
      </c>
      <c r="B25" s="35" t="s">
        <v>102</v>
      </c>
      <c r="C25" s="36" t="s">
        <v>27</v>
      </c>
      <c r="D25" s="37">
        <v>0</v>
      </c>
      <c r="E25" s="37">
        <v>210</v>
      </c>
      <c r="F25" s="38">
        <f t="shared" si="1"/>
        <v>0</v>
      </c>
      <c r="IE25" s="2"/>
      <c r="IF25" s="2"/>
      <c r="IG25" s="2"/>
      <c r="IH25"/>
      <c r="II25"/>
      <c r="IJ25"/>
      <c r="IK25"/>
      <c r="IL25"/>
      <c r="IM25"/>
    </row>
    <row r="26" spans="1:247" s="9" customFormat="1" ht="12.75">
      <c r="A26" s="34" t="s">
        <v>42</v>
      </c>
      <c r="B26" s="35" t="s">
        <v>103</v>
      </c>
      <c r="C26" s="36" t="s">
        <v>27</v>
      </c>
      <c r="D26" s="37">
        <v>0</v>
      </c>
      <c r="E26" s="37">
        <v>340</v>
      </c>
      <c r="F26" s="38">
        <f t="shared" si="1"/>
        <v>0</v>
      </c>
      <c r="IE26" s="2"/>
      <c r="IF26" s="2"/>
      <c r="IG26" s="2"/>
      <c r="IH26"/>
      <c r="II26"/>
      <c r="IJ26"/>
      <c r="IK26"/>
      <c r="IL26"/>
      <c r="IM26"/>
    </row>
    <row r="27" spans="1:247" s="9" customFormat="1" ht="12.75">
      <c r="A27" s="34" t="s">
        <v>43</v>
      </c>
      <c r="B27" s="35" t="s">
        <v>29</v>
      </c>
      <c r="C27" s="36" t="s">
        <v>108</v>
      </c>
      <c r="D27" s="37">
        <v>10</v>
      </c>
      <c r="E27" s="37">
        <v>878.3</v>
      </c>
      <c r="F27" s="38">
        <f t="shared" si="1"/>
        <v>8783</v>
      </c>
      <c r="IE27" s="2"/>
      <c r="IF27" s="2"/>
      <c r="IG27" s="2"/>
      <c r="IH27"/>
      <c r="II27"/>
      <c r="IJ27"/>
      <c r="IK27"/>
      <c r="IL27"/>
      <c r="IM27"/>
    </row>
    <row r="28" spans="1:247" s="9" customFormat="1" ht="12.75" customHeight="1">
      <c r="A28" s="34" t="s">
        <v>104</v>
      </c>
      <c r="B28" s="35" t="s">
        <v>31</v>
      </c>
      <c r="C28" s="36" t="s">
        <v>24</v>
      </c>
      <c r="D28" s="37">
        <f>'Cal. Escavação'!M9</f>
        <v>601.0704</v>
      </c>
      <c r="E28" s="37">
        <v>14</v>
      </c>
      <c r="F28" s="38">
        <f t="shared" si="1"/>
        <v>8414.9856</v>
      </c>
      <c r="IE28" s="2"/>
      <c r="IF28" s="2"/>
      <c r="IG28" s="2"/>
      <c r="IH28"/>
      <c r="II28"/>
      <c r="IJ28"/>
      <c r="IK28"/>
      <c r="IL28"/>
      <c r="IM28"/>
    </row>
    <row r="29" spans="1:247" s="9" customFormat="1" ht="12.75" customHeight="1">
      <c r="A29" s="34" t="s">
        <v>178</v>
      </c>
      <c r="B29" s="44" t="s">
        <v>35</v>
      </c>
      <c r="C29" s="36" t="s">
        <v>27</v>
      </c>
      <c r="D29" s="37">
        <v>498.6</v>
      </c>
      <c r="E29" s="37">
        <v>25</v>
      </c>
      <c r="F29" s="38">
        <f t="shared" si="1"/>
        <v>12465</v>
      </c>
      <c r="IE29" s="2"/>
      <c r="IF29" s="2"/>
      <c r="IG29" s="2"/>
      <c r="IH29"/>
      <c r="II29"/>
      <c r="IJ29"/>
      <c r="IK29"/>
      <c r="IL29"/>
      <c r="IM29"/>
    </row>
    <row r="30" spans="1:247" s="9" customFormat="1" ht="12.75">
      <c r="A30" s="202" t="s">
        <v>19</v>
      </c>
      <c r="B30" s="203"/>
      <c r="C30" s="106"/>
      <c r="D30" s="41"/>
      <c r="E30" s="41"/>
      <c r="F30" s="42">
        <f>SUM(F22:F29)</f>
        <v>58608.3776</v>
      </c>
      <c r="IE30" s="2"/>
      <c r="IF30" s="2"/>
      <c r="IG30" s="2"/>
      <c r="IH30"/>
      <c r="II30"/>
      <c r="IJ30"/>
      <c r="IK30"/>
      <c r="IL30"/>
      <c r="IM30"/>
    </row>
    <row r="31" spans="1:247" s="12" customFormat="1" ht="5.25" customHeight="1">
      <c r="A31" s="43"/>
      <c r="B31" s="9"/>
      <c r="C31" s="9"/>
      <c r="D31" s="9"/>
      <c r="E31" s="9"/>
      <c r="F31" s="9"/>
      <c r="IE31" s="2"/>
      <c r="IF31" s="2"/>
      <c r="IG31" s="2"/>
      <c r="IH31"/>
      <c r="II31"/>
      <c r="IJ31"/>
      <c r="IK31"/>
      <c r="IL31"/>
      <c r="IM31"/>
    </row>
    <row r="32" spans="1:247" s="12" customFormat="1" ht="12.75">
      <c r="A32" s="32" t="s">
        <v>32</v>
      </c>
      <c r="B32" s="33" t="s">
        <v>33</v>
      </c>
      <c r="C32" s="33"/>
      <c r="D32" s="33"/>
      <c r="E32" s="33"/>
      <c r="F32" s="33"/>
      <c r="IE32" s="2"/>
      <c r="IF32" s="2"/>
      <c r="IG32" s="2"/>
      <c r="IH32"/>
      <c r="II32"/>
      <c r="IJ32"/>
      <c r="IK32"/>
      <c r="IL32"/>
      <c r="IM32"/>
    </row>
    <row r="33" spans="1:247" s="9" customFormat="1" ht="25.5" customHeight="1">
      <c r="A33" s="34" t="s">
        <v>34</v>
      </c>
      <c r="B33" s="44" t="s">
        <v>121</v>
      </c>
      <c r="C33" s="36" t="s">
        <v>13</v>
      </c>
      <c r="D33" s="37">
        <f>'Quadro Resumo Calçadas'!G11</f>
        <v>1010.4</v>
      </c>
      <c r="E33" s="37">
        <v>44.75</v>
      </c>
      <c r="F33" s="38">
        <f>E33*D33</f>
        <v>45215.4</v>
      </c>
      <c r="IE33" s="2"/>
      <c r="IF33" s="2"/>
      <c r="IG33" s="2"/>
      <c r="IH33"/>
      <c r="II33"/>
      <c r="IJ33"/>
      <c r="IK33"/>
      <c r="IL33"/>
      <c r="IM33"/>
    </row>
    <row r="34" spans="1:247" s="9" customFormat="1" ht="12.75">
      <c r="A34" s="34" t="s">
        <v>36</v>
      </c>
      <c r="B34" s="44" t="s">
        <v>44</v>
      </c>
      <c r="C34" s="36" t="s">
        <v>108</v>
      </c>
      <c r="D34" s="37">
        <v>5</v>
      </c>
      <c r="E34" s="37">
        <v>300</v>
      </c>
      <c r="F34" s="38">
        <f>E34*D34</f>
        <v>1500</v>
      </c>
      <c r="IE34" s="2"/>
      <c r="IF34" s="2"/>
      <c r="IG34" s="2"/>
      <c r="IH34"/>
      <c r="II34"/>
      <c r="IJ34"/>
      <c r="IK34"/>
      <c r="IL34"/>
      <c r="IM34"/>
    </row>
    <row r="35" spans="1:247" s="9" customFormat="1" ht="22.5">
      <c r="A35" s="34" t="s">
        <v>48</v>
      </c>
      <c r="B35" s="44" t="s">
        <v>123</v>
      </c>
      <c r="C35" s="36" t="s">
        <v>108</v>
      </c>
      <c r="D35" s="37">
        <v>4</v>
      </c>
      <c r="E35" s="37">
        <v>200</v>
      </c>
      <c r="F35" s="38">
        <f>E35*D35</f>
        <v>800</v>
      </c>
      <c r="IE35" s="2"/>
      <c r="IF35" s="2"/>
      <c r="IG35" s="2"/>
      <c r="IH35"/>
      <c r="II35"/>
      <c r="IJ35"/>
      <c r="IK35"/>
      <c r="IL35"/>
      <c r="IM35"/>
    </row>
    <row r="36" spans="1:247" s="9" customFormat="1" ht="12.75" customHeight="1">
      <c r="A36" s="34" t="s">
        <v>105</v>
      </c>
      <c r="B36" s="44" t="s">
        <v>106</v>
      </c>
      <c r="C36" s="36" t="s">
        <v>13</v>
      </c>
      <c r="D36" s="37">
        <v>0</v>
      </c>
      <c r="E36" s="37">
        <v>17</v>
      </c>
      <c r="F36" s="38">
        <f>E36*D36</f>
        <v>0</v>
      </c>
      <c r="IE36" s="2"/>
      <c r="IF36" s="2"/>
      <c r="IG36" s="2"/>
      <c r="IH36"/>
      <c r="II36"/>
      <c r="IJ36"/>
      <c r="IK36"/>
      <c r="IL36"/>
      <c r="IM36"/>
    </row>
    <row r="37" spans="1:247" s="9" customFormat="1" ht="12.75">
      <c r="A37" s="34" t="s">
        <v>107</v>
      </c>
      <c r="B37" s="44" t="s">
        <v>37</v>
      </c>
      <c r="C37" s="36" t="s">
        <v>13</v>
      </c>
      <c r="D37" s="37">
        <f>B5*0.4</f>
        <v>109.84000000000002</v>
      </c>
      <c r="E37" s="37">
        <v>17</v>
      </c>
      <c r="F37" s="38">
        <f>E37*D37</f>
        <v>1867.2800000000002</v>
      </c>
      <c r="IE37" s="2"/>
      <c r="IF37" s="2"/>
      <c r="IG37" s="2"/>
      <c r="IH37"/>
      <c r="II37"/>
      <c r="IJ37"/>
      <c r="IK37"/>
      <c r="IL37"/>
      <c r="IM37"/>
    </row>
    <row r="38" spans="1:247" s="9" customFormat="1" ht="12.75" customHeight="1">
      <c r="A38" s="202" t="s">
        <v>19</v>
      </c>
      <c r="B38" s="206"/>
      <c r="C38" s="41"/>
      <c r="D38" s="41"/>
      <c r="E38" s="41"/>
      <c r="F38" s="42">
        <f>SUM(F33:F37)</f>
        <v>49382.68</v>
      </c>
      <c r="IE38" s="2"/>
      <c r="IF38" s="2"/>
      <c r="IG38" s="2"/>
      <c r="IH38"/>
      <c r="II38"/>
      <c r="IJ38"/>
      <c r="IK38"/>
      <c r="IL38"/>
      <c r="IM38"/>
    </row>
    <row r="39" spans="1:247" s="9" customFormat="1" ht="5.25" customHeight="1">
      <c r="A39" s="31"/>
      <c r="B39" s="31"/>
      <c r="C39" s="31"/>
      <c r="D39" s="31"/>
      <c r="E39" s="31"/>
      <c r="F39" s="31"/>
      <c r="IE39" s="2"/>
      <c r="IF39" s="2"/>
      <c r="IG39" s="2"/>
      <c r="IH39"/>
      <c r="II39"/>
      <c r="IJ39"/>
      <c r="IK39"/>
      <c r="IL39"/>
      <c r="IM39"/>
    </row>
    <row r="40" spans="1:247" s="9" customFormat="1" ht="12" customHeight="1">
      <c r="A40" s="207" t="s">
        <v>124</v>
      </c>
      <c r="B40" s="208"/>
      <c r="C40" s="208"/>
      <c r="D40" s="208"/>
      <c r="E40" s="13"/>
      <c r="F40" s="14">
        <f>F38+F30+F19</f>
        <v>262728.15760000004</v>
      </c>
      <c r="IE40" s="2"/>
      <c r="IF40" s="2"/>
      <c r="IG40" s="2"/>
      <c r="IH40"/>
      <c r="II40"/>
      <c r="IJ40"/>
      <c r="IK40"/>
      <c r="IL40"/>
      <c r="IM40"/>
    </row>
    <row r="41" spans="1:247" s="9" customFormat="1" ht="3.75" customHeight="1">
      <c r="A41" s="11"/>
      <c r="B41" s="11"/>
      <c r="C41" s="11"/>
      <c r="D41" s="11"/>
      <c r="E41" s="11"/>
      <c r="F41" s="11"/>
      <c r="IE41" s="2"/>
      <c r="IF41" s="2"/>
      <c r="IG41" s="2"/>
      <c r="IH41"/>
      <c r="II41"/>
      <c r="IJ41"/>
      <c r="IK41"/>
      <c r="IL41"/>
      <c r="IM41"/>
    </row>
    <row r="42" spans="1:247" s="9" customFormat="1" ht="12.75">
      <c r="A42" s="9" t="s">
        <v>125</v>
      </c>
      <c r="IE42" s="2"/>
      <c r="IF42" s="2"/>
      <c r="IG42" s="2"/>
      <c r="IH42"/>
      <c r="II42"/>
      <c r="IJ42"/>
      <c r="IK42"/>
      <c r="IL42"/>
      <c r="IM42"/>
    </row>
    <row r="43" spans="1:247" s="9" customFormat="1" ht="12.75">
      <c r="A43" s="12" t="s">
        <v>45</v>
      </c>
      <c r="B43" s="12"/>
      <c r="IE43" s="2"/>
      <c r="IF43" s="2"/>
      <c r="IG43" s="2"/>
      <c r="IH43"/>
      <c r="II43"/>
      <c r="IJ43"/>
      <c r="IK43"/>
      <c r="IL43"/>
      <c r="IM43"/>
    </row>
    <row r="44" spans="1:247" s="9" customFormat="1" ht="12.75">
      <c r="A44" s="9" t="s">
        <v>162</v>
      </c>
      <c r="IE44" s="2"/>
      <c r="IF44" s="2"/>
      <c r="IG44" s="2"/>
      <c r="IH44"/>
      <c r="II44"/>
      <c r="IJ44"/>
      <c r="IK44"/>
      <c r="IL44"/>
      <c r="IM44"/>
    </row>
    <row r="45" spans="239:247" s="9" customFormat="1" ht="12.75">
      <c r="IE45" s="2"/>
      <c r="IF45" s="2"/>
      <c r="IG45" s="2"/>
      <c r="IH45"/>
      <c r="II45"/>
      <c r="IJ45"/>
      <c r="IK45"/>
      <c r="IL45"/>
      <c r="IM45"/>
    </row>
    <row r="46" spans="239:247" s="9" customFormat="1" ht="12.75">
      <c r="IE46" s="2"/>
      <c r="IF46" s="2"/>
      <c r="IG46" s="2"/>
      <c r="IH46"/>
      <c r="II46"/>
      <c r="IJ46"/>
      <c r="IK46"/>
      <c r="IL46"/>
      <c r="IM46"/>
    </row>
    <row r="47" spans="239:247" s="9" customFormat="1" ht="12.75">
      <c r="IE47" s="2"/>
      <c r="IF47" s="2"/>
      <c r="IG47" s="2"/>
      <c r="IH47"/>
      <c r="II47"/>
      <c r="IJ47"/>
      <c r="IK47"/>
      <c r="IL47"/>
      <c r="IM47"/>
    </row>
    <row r="48" spans="239:247" s="9" customFormat="1" ht="12.75">
      <c r="IE48" s="2"/>
      <c r="IF48" s="2"/>
      <c r="IG48" s="2"/>
      <c r="IH48"/>
      <c r="II48"/>
      <c r="IJ48"/>
      <c r="IK48"/>
      <c r="IL48"/>
      <c r="IM48"/>
    </row>
    <row r="49" spans="239:247" s="9" customFormat="1" ht="12.75">
      <c r="IE49" s="2"/>
      <c r="IF49" s="2"/>
      <c r="IG49" s="2"/>
      <c r="IH49"/>
      <c r="II49"/>
      <c r="IJ49"/>
      <c r="IK49"/>
      <c r="IL49"/>
      <c r="IM49"/>
    </row>
    <row r="50" spans="239:247" s="9" customFormat="1" ht="12.75">
      <c r="IE50" s="2"/>
      <c r="IF50" s="2"/>
      <c r="IG50" s="2"/>
      <c r="IH50"/>
      <c r="II50"/>
      <c r="IJ50"/>
      <c r="IK50"/>
      <c r="IL50"/>
      <c r="IM50"/>
    </row>
    <row r="51" spans="239:247" s="9" customFormat="1" ht="12.75">
      <c r="IE51" s="2"/>
      <c r="IF51" s="2"/>
      <c r="IG51" s="2"/>
      <c r="IH51"/>
      <c r="II51"/>
      <c r="IJ51"/>
      <c r="IK51"/>
      <c r="IL51"/>
      <c r="IM51"/>
    </row>
    <row r="52" spans="239:247" s="9" customFormat="1" ht="12.75">
      <c r="IE52" s="2"/>
      <c r="IF52" s="2"/>
      <c r="IG52" s="2"/>
      <c r="IH52"/>
      <c r="II52"/>
      <c r="IJ52"/>
      <c r="IK52"/>
      <c r="IL52"/>
      <c r="IM52"/>
    </row>
    <row r="53" ht="12.75">
      <c r="A53" s="20"/>
    </row>
  </sheetData>
  <sheetProtection/>
  <mergeCells count="11">
    <mergeCell ref="A7:F7"/>
    <mergeCell ref="A9:A10"/>
    <mergeCell ref="B9:B10"/>
    <mergeCell ref="C9:C10"/>
    <mergeCell ref="D9:D10"/>
    <mergeCell ref="E9:E10"/>
    <mergeCell ref="F9:F10"/>
    <mergeCell ref="A19:B19"/>
    <mergeCell ref="A30:B30"/>
    <mergeCell ref="A38:B38"/>
    <mergeCell ref="A40:D40"/>
  </mergeCells>
  <printOptions/>
  <pageMargins left="0.7874015748031497" right="0.5905511811023623" top="1.8897637795275593" bottom="0.8661417322834646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PLANATERRA</dc:creator>
  <cp:keywords/>
  <dc:description/>
  <cp:lastModifiedBy>user</cp:lastModifiedBy>
  <cp:lastPrinted>2011-05-26T17:21:30Z</cp:lastPrinted>
  <dcterms:created xsi:type="dcterms:W3CDTF">2007-02-06T16:03:38Z</dcterms:created>
  <dcterms:modified xsi:type="dcterms:W3CDTF">2011-08-23T18:04:08Z</dcterms:modified>
  <cp:category/>
  <cp:version/>
  <cp:contentType/>
  <cp:contentStatus/>
</cp:coreProperties>
</file>